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Лист1!$A$1:$F$56</definedName>
  </definedNames>
  <calcPr calcId="152511"/>
</workbook>
</file>

<file path=xl/calcChain.xml><?xml version="1.0" encoding="utf-8"?>
<calcChain xmlns="http://schemas.openxmlformats.org/spreadsheetml/2006/main">
  <c r="D47" i="2" l="1"/>
  <c r="D48" i="2"/>
  <c r="D27" i="2"/>
  <c r="D32" i="2"/>
  <c r="D72" i="2"/>
  <c r="D65" i="2"/>
  <c r="D74" i="2"/>
  <c r="D73" i="2"/>
  <c r="D66" i="2"/>
  <c r="D75" i="2"/>
  <c r="D49" i="2"/>
  <c r="D56" i="2"/>
  <c r="E55" i="2"/>
  <c r="D55" i="2"/>
  <c r="D54" i="2"/>
  <c r="D53" i="2"/>
  <c r="D51" i="2"/>
  <c r="E52" i="2"/>
  <c r="D52" i="2"/>
  <c r="D50" i="2"/>
  <c r="D57" i="2"/>
  <c r="D61" i="2"/>
  <c r="E63" i="2"/>
  <c r="D63" i="2"/>
  <c r="D62" i="2"/>
  <c r="D60" i="2"/>
  <c r="D59" i="2"/>
  <c r="D58" i="2"/>
  <c r="E45" i="2"/>
  <c r="D45" i="2"/>
  <c r="D76" i="2"/>
  <c r="D77" i="2"/>
  <c r="D83" i="2"/>
  <c r="E42" i="2"/>
  <c r="D37" i="2"/>
  <c r="D38" i="2"/>
  <c r="D34" i="2"/>
  <c r="D25" i="2"/>
  <c r="D24" i="2"/>
  <c r="D23" i="2"/>
  <c r="D22" i="2"/>
  <c r="D21" i="2"/>
  <c r="D20" i="2"/>
  <c r="D19" i="2"/>
  <c r="E19" i="2" s="1"/>
  <c r="D18" i="2"/>
  <c r="E17" i="2"/>
  <c r="D17" i="2"/>
  <c r="D16" i="2" l="1"/>
  <c r="E41" i="2" l="1"/>
  <c r="D64" i="2" l="1"/>
  <c r="E76" i="2"/>
  <c r="E77" i="2"/>
  <c r="E47" i="2" l="1"/>
  <c r="E48" i="2"/>
  <c r="E65" i="2"/>
  <c r="E67" i="2"/>
  <c r="E66" i="2"/>
  <c r="E68" i="2"/>
  <c r="E69" i="2"/>
  <c r="E70" i="2"/>
  <c r="E71" i="2"/>
  <c r="E74" i="2"/>
  <c r="E73" i="2"/>
  <c r="E72" i="2"/>
  <c r="E75" i="2"/>
  <c r="E59" i="2" l="1"/>
  <c r="E61" i="2"/>
  <c r="E62" i="2"/>
  <c r="E60" i="2"/>
  <c r="E50" i="2"/>
  <c r="E56" i="2"/>
  <c r="E54" i="2"/>
  <c r="E53" i="2"/>
  <c r="E51" i="2"/>
  <c r="E38" i="2"/>
  <c r="E37" i="2"/>
  <c r="E36" i="2"/>
  <c r="D36" i="2"/>
  <c r="E34" i="2"/>
  <c r="E39" i="2"/>
  <c r="D40" i="2"/>
  <c r="E40" i="2" s="1"/>
  <c r="D44" i="2"/>
  <c r="G45" i="3"/>
  <c r="G46" i="3"/>
  <c r="G47" i="3"/>
  <c r="G48" i="3"/>
  <c r="G49" i="3"/>
  <c r="G44" i="3"/>
  <c r="G39" i="3"/>
  <c r="G40" i="3"/>
  <c r="G41" i="3"/>
  <c r="G42" i="3"/>
  <c r="G43" i="3"/>
  <c r="F39" i="3"/>
  <c r="F40" i="3"/>
  <c r="F41" i="3"/>
  <c r="F50" i="3" s="1"/>
  <c r="F42" i="3"/>
  <c r="F43" i="3"/>
  <c r="F44" i="3"/>
  <c r="F45" i="3"/>
  <c r="F46" i="3"/>
  <c r="F47" i="3"/>
  <c r="F48" i="3"/>
  <c r="F49" i="3"/>
  <c r="F38" i="3"/>
  <c r="G38" i="3" s="1"/>
  <c r="E50" i="3"/>
  <c r="D50" i="3"/>
  <c r="D39" i="3"/>
  <c r="D40" i="3"/>
  <c r="D41" i="3"/>
  <c r="D42" i="3"/>
  <c r="D43" i="3"/>
  <c r="D44" i="3"/>
  <c r="D45" i="3"/>
  <c r="D46" i="3"/>
  <c r="D47" i="3"/>
  <c r="D48" i="3"/>
  <c r="D49" i="3"/>
  <c r="D38" i="3"/>
  <c r="C39" i="3"/>
  <c r="C40" i="3"/>
  <c r="C41" i="3"/>
  <c r="C42" i="3"/>
  <c r="C43" i="3"/>
  <c r="C44" i="3"/>
  <c r="C45" i="3"/>
  <c r="C46" i="3"/>
  <c r="C47" i="3"/>
  <c r="C48" i="3"/>
  <c r="C49" i="3"/>
  <c r="C38" i="3"/>
  <c r="G28" i="3"/>
  <c r="G29" i="3"/>
  <c r="G30" i="3"/>
  <c r="G33" i="3" s="1"/>
  <c r="G31" i="3"/>
  <c r="G32" i="3"/>
  <c r="G27" i="3"/>
  <c r="G22" i="3"/>
  <c r="G23" i="3"/>
  <c r="G24" i="3"/>
  <c r="G25" i="3"/>
  <c r="G26" i="3"/>
  <c r="G21" i="3"/>
  <c r="F22" i="3"/>
  <c r="F23" i="3"/>
  <c r="F24" i="3"/>
  <c r="F33" i="3" s="1"/>
  <c r="F25" i="3"/>
  <c r="F26" i="3"/>
  <c r="F27" i="3"/>
  <c r="F28" i="3"/>
  <c r="F29" i="3"/>
  <c r="F30" i="3"/>
  <c r="F31" i="3"/>
  <c r="F32" i="3"/>
  <c r="F21" i="3"/>
  <c r="E33" i="3"/>
  <c r="D33" i="3"/>
  <c r="D22" i="3"/>
  <c r="D23" i="3"/>
  <c r="D24" i="3"/>
  <c r="D25" i="3"/>
  <c r="D26" i="3"/>
  <c r="D27" i="3"/>
  <c r="D28" i="3"/>
  <c r="D29" i="3"/>
  <c r="D30" i="3"/>
  <c r="D31" i="3"/>
  <c r="D32" i="3"/>
  <c r="D21" i="3"/>
  <c r="G11" i="3"/>
  <c r="G12" i="3"/>
  <c r="G13" i="3"/>
  <c r="G14" i="3"/>
  <c r="G10" i="3"/>
  <c r="G7" i="3"/>
  <c r="G8" i="3"/>
  <c r="G9" i="3"/>
  <c r="G4" i="3"/>
  <c r="E16" i="3"/>
  <c r="D16" i="3"/>
  <c r="F5" i="3"/>
  <c r="G5" i="3" s="1"/>
  <c r="F6" i="3"/>
  <c r="G6" i="3" s="1"/>
  <c r="F7" i="3"/>
  <c r="F8" i="3"/>
  <c r="F9" i="3"/>
  <c r="F10" i="3"/>
  <c r="F11" i="3"/>
  <c r="F12" i="3"/>
  <c r="F13" i="3"/>
  <c r="F14" i="3"/>
  <c r="F15" i="3"/>
  <c r="G15" i="3" s="1"/>
  <c r="F4" i="3"/>
  <c r="D5" i="3"/>
  <c r="D6" i="3"/>
  <c r="D7" i="3"/>
  <c r="D8" i="3"/>
  <c r="D9" i="3"/>
  <c r="D10" i="3"/>
  <c r="D11" i="3"/>
  <c r="D12" i="3"/>
  <c r="D13" i="3"/>
  <c r="D14" i="3"/>
  <c r="D15" i="3"/>
  <c r="D4" i="3"/>
  <c r="G50" i="3" l="1"/>
  <c r="F16" i="3"/>
  <c r="G16" i="3"/>
  <c r="D28" i="2"/>
  <c r="E28" i="2" s="1"/>
  <c r="E25" i="2"/>
  <c r="E24" i="2"/>
  <c r="E23" i="2"/>
  <c r="E22" i="2"/>
  <c r="E21" i="2"/>
  <c r="E20" i="2"/>
  <c r="E18" i="2"/>
  <c r="E27" i="2" l="1"/>
  <c r="E64" i="2" l="1"/>
  <c r="E49" i="2"/>
  <c r="E44" i="2"/>
  <c r="D43" i="2" l="1"/>
  <c r="E43" i="2" s="1"/>
  <c r="E58" i="2"/>
  <c r="D35" i="2"/>
  <c r="E35" i="2" s="1"/>
  <c r="D33" i="2" l="1"/>
  <c r="E57" i="2"/>
  <c r="E33" i="2" l="1"/>
  <c r="E32" i="2"/>
  <c r="D46" i="2"/>
  <c r="E46" i="2" s="1"/>
  <c r="G51" i="3" l="1"/>
  <c r="E16" i="2"/>
  <c r="D89" i="2"/>
  <c r="F26" i="2"/>
  <c r="F16" i="2"/>
  <c r="D60" i="1"/>
  <c r="D54" i="1"/>
  <c r="F27" i="1"/>
  <c r="E28" i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F16" i="1"/>
  <c r="D16" i="1" s="1"/>
  <c r="E16" i="1" s="1"/>
  <c r="D31" i="2" l="1"/>
  <c r="E31" i="2" s="1"/>
  <c r="D26" i="2"/>
  <c r="E26" i="2" s="1"/>
  <c r="D29" i="1"/>
  <c r="F31" i="2" l="1"/>
  <c r="D29" i="2"/>
  <c r="E29" i="2" s="1"/>
  <c r="C10" i="1"/>
  <c r="D78" i="2" l="1"/>
  <c r="D27" i="1"/>
  <c r="E27" i="1" s="1"/>
  <c r="D33" i="1" l="1"/>
  <c r="D32" i="1" s="1"/>
  <c r="D30" i="1" s="1"/>
  <c r="D50" i="1" l="1"/>
  <c r="E33" i="1" l="1"/>
  <c r="E32" i="1" l="1"/>
  <c r="F32" i="1" s="1"/>
  <c r="E30" i="1" l="1"/>
</calcChain>
</file>

<file path=xl/sharedStrings.xml><?xml version="1.0" encoding="utf-8"?>
<sst xmlns="http://schemas.openxmlformats.org/spreadsheetml/2006/main" count="301" uniqueCount="199">
  <si>
    <t>№ п/п</t>
  </si>
  <si>
    <t>Всего за год, руб.</t>
  </si>
  <si>
    <t>в том числе: руб. на 1 кв.м. в месяц</t>
  </si>
  <si>
    <t>Утвержденный/согласованный тариф руб. на 1 кв.м. в месяц</t>
  </si>
  <si>
    <t>Количество зарегистрированный по месту жительства человек:</t>
  </si>
  <si>
    <t>9.1.</t>
  </si>
  <si>
    <t xml:space="preserve">в том числе в собственности граждан: </t>
  </si>
  <si>
    <t xml:space="preserve">Количество квартир: </t>
  </si>
  <si>
    <t>Сумма доходов, которая подлежит к использованию на "Содержание общего имущества" (стр 11-стр 12-/+стр 7)</t>
  </si>
  <si>
    <t>Общая площадь помещений МКД:  м2</t>
  </si>
  <si>
    <t>Общая площадь нежилых помещений МКД: м2</t>
  </si>
  <si>
    <t>ВСЕГО расходов по МКД</t>
  </si>
  <si>
    <t>в том числе:</t>
  </si>
  <si>
    <t>Расходы по статье "Содержание общего имущества" составили, в том числе:</t>
  </si>
  <si>
    <t>Работы и услуги, выполненные подрядными организациями, из них:</t>
  </si>
  <si>
    <t>Вывоз твердых бытовых отходов и крупногабаритного мусора</t>
  </si>
  <si>
    <t>Уборка и сантирано-гигиеническая очистка лестничных клеток</t>
  </si>
  <si>
    <t>Уборка и сантирано-гигиеническая очистка земельного участка, контейнерных площадок</t>
  </si>
  <si>
    <t>Дератизация, дезинсекция подвальных помещений</t>
  </si>
  <si>
    <t>Содержание и техническое обслуживание внутридомовых систем холодного и горячего водоснабжения, отопления и канализации</t>
  </si>
  <si>
    <t>Содержание и техническое обслуживание конструктивных элементов общего имущества</t>
  </si>
  <si>
    <t>Содержание и техническое обслуживание внутридомовых систем электроснабжения</t>
  </si>
  <si>
    <t>Текущий ремонт общего имущества</t>
  </si>
  <si>
    <t>9.2.</t>
  </si>
  <si>
    <t>9.3.</t>
  </si>
  <si>
    <t>9.4.</t>
  </si>
  <si>
    <t>9.5.</t>
  </si>
  <si>
    <t>9.6.</t>
  </si>
  <si>
    <t>9.7.</t>
  </si>
  <si>
    <t>16.2.</t>
  </si>
  <si>
    <t>16.3.</t>
  </si>
  <si>
    <t>16.4.</t>
  </si>
  <si>
    <t>16.5.</t>
  </si>
  <si>
    <t>16.6.</t>
  </si>
  <si>
    <t>17.</t>
  </si>
  <si>
    <t>9.8.</t>
  </si>
  <si>
    <t>18.</t>
  </si>
  <si>
    <t>19.</t>
  </si>
  <si>
    <t>16.1.</t>
  </si>
  <si>
    <t>9.9.</t>
  </si>
  <si>
    <t>9.10.</t>
  </si>
  <si>
    <t>Содержание и техническое обслуживание лифтов</t>
  </si>
  <si>
    <t>Очистка мусоропровода</t>
  </si>
  <si>
    <t>Директор ООО "Чистый двор"</t>
  </si>
  <si>
    <t>"___"__________________2018 г.</t>
  </si>
  <si>
    <t>Отчет по управлению, содержанию и текущему ремонту общего имущества МКД за 2017 год</t>
  </si>
  <si>
    <t>Сальдо сэкономленных средств по дому за 2016 год, руб.:</t>
  </si>
  <si>
    <t xml:space="preserve">Долг за ЖКУ на 01.01.2017 г.: </t>
  </si>
  <si>
    <t>Начислено населению за 2017 год по статье "Содержание общего имущества" в том числе:</t>
  </si>
  <si>
    <t>Итого плановый доход по дому по статье "Содержаение общего имущества" на 2017 год</t>
  </si>
  <si>
    <t>Поступило средств за жилищные услуги от населения за 2017 год</t>
  </si>
  <si>
    <t>Учет в организации ведется по упрощенной системе налогообложения</t>
  </si>
  <si>
    <t>_________________________/Т.А. Лаврова/</t>
  </si>
  <si>
    <t>Обслуживание общедомовых приборов учета энергии и водоснабжения</t>
  </si>
  <si>
    <t>Очистка кровли и придомовой территории от снега</t>
  </si>
  <si>
    <t>Сверхнормативные ресурсы на ОДН</t>
  </si>
  <si>
    <t>17.1.</t>
  </si>
  <si>
    <t>17.2.</t>
  </si>
  <si>
    <t>энергоснабжение</t>
  </si>
  <si>
    <t>водоснабжение, водоотведение</t>
  </si>
  <si>
    <t>Работы и услуги, выполненные своими силами, из них:</t>
  </si>
  <si>
    <t>Сальдо неизрасходованных/перерасходованных средств по дому на 31.121.2017 г. (стр 13- стрр 14)</t>
  </si>
  <si>
    <t>Паспортно-регистрационное обслуживание</t>
  </si>
  <si>
    <t>Уборка и сантирано-гигиеническая очистка земельного участка, контейнерных площадок, мусоропровода</t>
  </si>
  <si>
    <t>Услуги по управлению МКД</t>
  </si>
  <si>
    <t>Получено средств от предоставления в пользование общедомового имущества, в том числе:</t>
  </si>
  <si>
    <t>20.</t>
  </si>
  <si>
    <t>20.1.</t>
  </si>
  <si>
    <t>ООО "Данцер"</t>
  </si>
  <si>
    <t>20.2.</t>
  </si>
  <si>
    <t>АО "Нижневартовская ГРЭС"</t>
  </si>
  <si>
    <t>ООО "Т2 Мобайл"</t>
  </si>
  <si>
    <t>ООО "Телематика"</t>
  </si>
  <si>
    <t>20.3.</t>
  </si>
  <si>
    <t>20.4.</t>
  </si>
  <si>
    <t>Использовано средств по решению собственников</t>
  </si>
  <si>
    <t>Остаток средств на 2018 год</t>
  </si>
  <si>
    <t>18.1.</t>
  </si>
  <si>
    <t>18.2.</t>
  </si>
  <si>
    <t>18.3.</t>
  </si>
  <si>
    <t>18.4.</t>
  </si>
  <si>
    <t>18.5.</t>
  </si>
  <si>
    <t>18.6.</t>
  </si>
  <si>
    <r>
      <t xml:space="preserve">Дом № </t>
    </r>
    <r>
      <rPr>
        <b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,улица: </t>
    </r>
    <r>
      <rPr>
        <b/>
        <sz val="11"/>
        <color theme="1"/>
        <rFont val="Times New Roman"/>
        <family val="1"/>
        <charset val="204"/>
      </rPr>
      <t>Энергетиков</t>
    </r>
    <r>
      <rPr>
        <sz val="11"/>
        <color theme="1"/>
        <rFont val="Times New Roman"/>
        <family val="1"/>
        <charset val="204"/>
      </rPr>
      <t xml:space="preserve"> в пгт. Излучинск</t>
    </r>
  </si>
  <si>
    <t>ПРОЧИЕ ДОХОДЫ И РАСХОДЫ</t>
  </si>
  <si>
    <t>Содержание общего имущества</t>
  </si>
  <si>
    <t>Горячее водоснабжение на СОИ</t>
  </si>
  <si>
    <t>Холодное водоснабжение на СОИ</t>
  </si>
  <si>
    <t>Канализация на СОИ</t>
  </si>
  <si>
    <t>Электроэнергия на СОИ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</si>
  <si>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</si>
  <si>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</si>
  <si>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</si>
  <si>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</si>
  <si>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</si>
  <si>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</si>
  <si>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</si>
  <si>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ХВС</t>
  </si>
  <si>
    <t>начислено потребителям</t>
  </si>
  <si>
    <t>норматив</t>
  </si>
  <si>
    <t>рубли</t>
  </si>
  <si>
    <t>ГВС</t>
  </si>
  <si>
    <t>убыток/прибыль УК</t>
  </si>
  <si>
    <t>ВД</t>
  </si>
  <si>
    <t xml:space="preserve">ноябрь </t>
  </si>
  <si>
    <t>Уборка и сантирано-гигиеническая очистка лестничных клеток, земельного участка, контейнерных площадок, мусоропровода</t>
  </si>
  <si>
    <t>в том числе стоимость материалов</t>
  </si>
  <si>
    <t>промывка канализации и выпусков наколодец</t>
  </si>
  <si>
    <t>обход и осмотр подвальных помещений</t>
  </si>
  <si>
    <t xml:space="preserve">осмотр электрооборудования </t>
  </si>
  <si>
    <t>снятие показаний индивидуальных приборов учета</t>
  </si>
  <si>
    <t>предъявлено от ИМКХ</t>
  </si>
  <si>
    <t xml:space="preserve">элекротэнергия по факту </t>
  </si>
  <si>
    <t>ВСЕГО</t>
  </si>
  <si>
    <t>Сверхнормативные ресурсы  на ОДН</t>
  </si>
  <si>
    <t>в том числе стоимость материалов, услуги связи, аренда, комиссия банка за прием платежей (Сбербанк)</t>
  </si>
  <si>
    <t xml:space="preserve"> ТЕКУЩИЙ РЕМОНТ (Содержание и техническое обслуживание конструктивных элементов общего имущества)</t>
  </si>
  <si>
    <t>Сумма доходов, которая подлежит к использованию на "Содержание общего имущества" (стр 9-стр 11-/+стр 7)</t>
  </si>
  <si>
    <t>Количество зарегистрированных по месту жительства человек:</t>
  </si>
  <si>
    <t>15.1.</t>
  </si>
  <si>
    <t>15.2.</t>
  </si>
  <si>
    <t>15.3.</t>
  </si>
  <si>
    <t>15.4.</t>
  </si>
  <si>
    <t>15.5.</t>
  </si>
  <si>
    <t>15.6.</t>
  </si>
  <si>
    <t>15.7.</t>
  </si>
  <si>
    <t>16.</t>
  </si>
  <si>
    <t>Расходы по статье "Содержание общего имущества" (стр.15+стр.16+стр.17) , в том числе:</t>
  </si>
  <si>
    <t>в том числе стоимость расходных материалов и инвентаря</t>
  </si>
  <si>
    <t>Составил: гл.бухгалтер               Грошева Т.С.</t>
  </si>
  <si>
    <t>Дом № 7 ,переулок: Строителей в пгт. Излучинск</t>
  </si>
  <si>
    <t>ревизия электрощитов, ВРУ (28 единиц)</t>
  </si>
  <si>
    <t>Размещение на захоронение ТКО</t>
  </si>
  <si>
    <t>АО "Северсвязь"</t>
  </si>
  <si>
    <t>21.</t>
  </si>
  <si>
    <t>январь</t>
  </si>
  <si>
    <t>февраль</t>
  </si>
  <si>
    <t>март</t>
  </si>
  <si>
    <t>апрель</t>
  </si>
  <si>
    <t>май</t>
  </si>
  <si>
    <t>июнь</t>
  </si>
  <si>
    <t>15.8.</t>
  </si>
  <si>
    <t>Очистка козырьков входных групп и придомовой территории от снега</t>
  </si>
  <si>
    <t>замена кровли козырьков входных групп, с заменой стяжки и бетонных парапетов (90м2)</t>
  </si>
  <si>
    <t>ремонт металлических поручней крылец сваркой, деревянных перил с последующей окраской (3 единицы)</t>
  </si>
  <si>
    <t>окраска наружных стен крыльца и эстакад (10 м2)</t>
  </si>
  <si>
    <t>ремонт оконных блоков со сменой остекления ( 1 единица)</t>
  </si>
  <si>
    <t>покраска урн, скамеек, контейнеров (19 м2)</t>
  </si>
  <si>
    <t>Тех освидетельствование и электроизмерительные испытания лифтов</t>
  </si>
  <si>
    <t>15.9.</t>
  </si>
  <si>
    <t>"___"__________________2020 г.</t>
  </si>
  <si>
    <t>Отчет по управлению, содержанию и текущему ремонту общего имущества МКД за 2019 год</t>
  </si>
  <si>
    <t>Сальдо сэкономленных средств по дому за 2018 год, руб.:</t>
  </si>
  <si>
    <t>Начислено за 2019 год по статье "Содержание общего имущества" в том числе:</t>
  </si>
  <si>
    <t>Итого плановый доход по дому по статье "Содержание общего имущества" на 2019 год</t>
  </si>
  <si>
    <t>Поступило средств за жилищные услуги за 2019 год</t>
  </si>
  <si>
    <t>Ремонт межпанельных стыков  (281,4 м.п.)</t>
  </si>
  <si>
    <t>Поверка вычислителей ОДПУ (истечение срока поверки ОДПУ ХВС, ГВС)</t>
  </si>
  <si>
    <t>Остаток неиспользованных средств от предоставления в пользование общедомового имущества на 01.01.19г</t>
  </si>
  <si>
    <t>Остаток средств на 2020 год</t>
  </si>
  <si>
    <t>ревизия действующих светильников (60 единиц)</t>
  </si>
  <si>
    <t>монтаж светильников в подвале (40 единиц)</t>
  </si>
  <si>
    <t>плановая поверка ОДПУ ГХВС</t>
  </si>
  <si>
    <t>замена стояковых вентилей на краны шаровые( 8 единиц)</t>
  </si>
  <si>
    <t>замена стояковых труб ХВС, канализационных труб (2 метра)</t>
  </si>
  <si>
    <t>замена теплоизоляции систем теплоснабжения и водоснабжения с мин ваты на полипропилен</t>
  </si>
  <si>
    <t>ремонт мягкой кровли (10м2)</t>
  </si>
  <si>
    <t>ремонт и частичная замена дверных блоков выходов на кровлю (2 единицы)</t>
  </si>
  <si>
    <t>ремонт и утепление дверных блоков (4 единицы) с навеской пружин, заменой ручек (5 единиц)</t>
  </si>
  <si>
    <t>утепление продухов пенопластом (3 единицы)</t>
  </si>
  <si>
    <t>покос травы на придомовой территории (1992м2)</t>
  </si>
  <si>
    <t>Сальдо неизрасходованных/перерасходованных средств по дому на 31.12.2019 г. (стр 12- стр 13)</t>
  </si>
  <si>
    <t xml:space="preserve">Долг за  оказанные услуги по содержанию МКД на 01.01.2019 г.: </t>
  </si>
  <si>
    <t>17.1.2.</t>
  </si>
  <si>
    <t>17.2.1.</t>
  </si>
  <si>
    <t>17.2.2.</t>
  </si>
  <si>
    <t>17.2.3.</t>
  </si>
  <si>
    <t>17.2.4.</t>
  </si>
  <si>
    <t>17.2.5.</t>
  </si>
  <si>
    <t>17.2.6.</t>
  </si>
  <si>
    <t>17.2.7.</t>
  </si>
  <si>
    <t>17.3.</t>
  </si>
  <si>
    <t>17.3.1.</t>
  </si>
  <si>
    <t>17.3.2.</t>
  </si>
  <si>
    <t>17.3.3.</t>
  </si>
  <si>
    <t>17.3.4.</t>
  </si>
  <si>
    <t>17.3.5.</t>
  </si>
  <si>
    <t>17.3.6.</t>
  </si>
  <si>
    <t>17.4.</t>
  </si>
  <si>
    <t>17.4.1.</t>
  </si>
  <si>
    <t>17.4.2.</t>
  </si>
  <si>
    <t>17.4.3.</t>
  </si>
  <si>
    <t>17.4.4.</t>
  </si>
  <si>
    <t>17.4.5.</t>
  </si>
  <si>
    <t>17.4.6.</t>
  </si>
  <si>
    <t>17.4.7.</t>
  </si>
  <si>
    <t>17.5.</t>
  </si>
  <si>
    <t>17.5.1.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</si>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</sst>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right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4" fontId="4" fillId="2" borderId="1" xfId="1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right"/>
    </xf>
    <xf numFmtId="4" fontId="3" fillId="2" borderId="1" xfId="0" applyNumberFormat="1" applyFont="1" applyFill="1" applyBorder="1"/>
    <xf numFmtId="0" fontId="3" fillId="2" borderId="0" xfId="0" applyFont="1" applyFill="1"/>
    <xf numFmtId="16" fontId="2" fillId="2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0" fillId="0" borderId="0" xfId="0" applyAlignment="1">
      <alignment wrapText="1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0" fontId="6" fillId="2" borderId="0" xfId="0" applyFont="1" applyFill="1"/>
    <xf numFmtId="0" fontId="0" fillId="0" borderId="4" xfId="0" applyFill="1" applyBorder="1"/>
    <xf numFmtId="4" fontId="0" fillId="0" borderId="0" xfId="0" applyNumberFormat="1"/>
    <xf numFmtId="4" fontId="7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4" fontId="9" fillId="2" borderId="1" xfId="0" applyNumberFormat="1" applyFont="1" applyFill="1" applyBorder="1"/>
    <xf numFmtId="0" fontId="10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right"/>
    </xf>
    <xf numFmtId="4" fontId="7" fillId="2" borderId="1" xfId="0" applyNumberFormat="1" applyFont="1" applyFill="1" applyBorder="1"/>
    <xf numFmtId="0" fontId="11" fillId="2" borderId="0" xfId="0" applyFont="1" applyFill="1"/>
    <xf numFmtId="0" fontId="8" fillId="2" borderId="1" xfId="0" applyFont="1" applyFill="1" applyBorder="1" applyAlignment="1">
      <alignment horizontal="right"/>
    </xf>
    <xf numFmtId="4" fontId="8" fillId="2" borderId="1" xfId="0" applyNumberFormat="1" applyFont="1" applyFill="1" applyBorder="1"/>
    <xf numFmtId="0" fontId="12" fillId="2" borderId="0" xfId="0" applyFont="1" applyFill="1"/>
    <xf numFmtId="0" fontId="7" fillId="2" borderId="1" xfId="0" applyFont="1" applyFill="1" applyBorder="1" applyAlignment="1">
      <alignment horizontal="right" wrapText="1"/>
    </xf>
    <xf numFmtId="0" fontId="8" fillId="2" borderId="1" xfId="0" applyFont="1" applyFill="1" applyBorder="1"/>
    <xf numFmtId="0" fontId="8" fillId="2" borderId="0" xfId="0" applyFont="1" applyFill="1"/>
    <xf numFmtId="0" fontId="7" fillId="2" borderId="1" xfId="0" applyFont="1" applyFill="1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14" fontId="7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4" fontId="13" fillId="2" borderId="1" xfId="0" applyNumberFormat="1" applyFont="1" applyFill="1" applyBorder="1"/>
    <xf numFmtId="0" fontId="14" fillId="2" borderId="0" xfId="0" applyFont="1" applyFill="1"/>
    <xf numFmtId="0" fontId="15" fillId="2" borderId="1" xfId="0" applyFont="1" applyFill="1" applyBorder="1" applyAlignment="1">
      <alignment horizontal="right"/>
    </xf>
    <xf numFmtId="4" fontId="15" fillId="2" borderId="1" xfId="0" applyNumberFormat="1" applyFont="1" applyFill="1" applyBorder="1"/>
    <xf numFmtId="0" fontId="15" fillId="2" borderId="0" xfId="0" applyFont="1" applyFill="1"/>
    <xf numFmtId="0" fontId="11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right" wrapText="1"/>
    </xf>
    <xf numFmtId="0" fontId="11" fillId="2" borderId="0" xfId="0" applyFont="1" applyFill="1" applyAlignment="1">
      <alignment horizontal="right"/>
    </xf>
    <xf numFmtId="14" fontId="9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6;&#1090;&#1095;&#1077;&#1090;&#1099;%20&#1052;&#1050;&#1044;%20&#1063;&#1044;\&#1089;&#1074;&#1086;&#1076;%20&#1074;&#1077;&#1076;&#1086;&#1084;&#1086;&#1089;&#1090;&#1080;%20&#1076;&#1083;&#1103;%20&#1075;&#1086;&#1076;%20&#1086;&#1090;&#1095;&#1077;&#1090;&#1086;&#1074;%20&#1087;&#1086;%20&#1052;&#1050;&#1044;\&#1089;&#1074;&#1086;&#1076;%20&#1074;&#1077;&#1076;&#1086;&#1084;&#1086;&#1089;&#1090;&#1100;%20&#1057;&#1090;&#1088;&#1086;&#1080;&#1090;&#1077;&#1083;%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26">
          <cell r="K226">
            <v>137971.18</v>
          </cell>
          <cell r="L226">
            <v>55233.83</v>
          </cell>
          <cell r="N226">
            <v>47457.87</v>
          </cell>
          <cell r="O226">
            <v>630102.72</v>
          </cell>
          <cell r="Q226">
            <v>254433.86</v>
          </cell>
          <cell r="T226">
            <v>29296.23</v>
          </cell>
          <cell r="U226">
            <v>2322604.94</v>
          </cell>
          <cell r="V226">
            <v>16350.9</v>
          </cell>
          <cell r="W226">
            <v>38019.24</v>
          </cell>
          <cell r="AA226">
            <v>162195.21</v>
          </cell>
          <cell r="AC226">
            <v>53925.68</v>
          </cell>
          <cell r="AE226">
            <v>47010.95</v>
          </cell>
          <cell r="AF226">
            <v>616083.5</v>
          </cell>
          <cell r="AI226">
            <v>249080.36</v>
          </cell>
          <cell r="AK226">
            <v>34059.85</v>
          </cell>
          <cell r="AL226">
            <v>2271917.27</v>
          </cell>
          <cell r="AN226">
            <v>16295.85</v>
          </cell>
          <cell r="AO226">
            <v>38083.71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workbookViewId="0">
      <selection sqref="A1:XFD1048576"/>
    </sheetView>
  </sheetViews>
  <sheetFormatPr defaultRowHeight="15" x14ac:dyDescent="0.25"/>
  <cols>
    <col min="1" max="1" width="10.140625" style="2" bestFit="1" customWidth="1"/>
    <col min="2" max="2" width="62.42578125" style="2" bestFit="1" customWidth="1"/>
    <col min="3" max="3" width="8.85546875" style="2" customWidth="1"/>
    <col min="4" max="4" width="13" style="2" customWidth="1"/>
    <col min="5" max="5" width="12.42578125" style="2" customWidth="1"/>
    <col min="6" max="6" width="15.7109375" style="2" customWidth="1"/>
    <col min="7" max="16384" width="9.140625" style="2"/>
  </cols>
  <sheetData>
    <row r="2" spans="1:6" x14ac:dyDescent="0.25">
      <c r="A2" s="75" t="s">
        <v>43</v>
      </c>
      <c r="B2" s="75"/>
    </row>
    <row r="3" spans="1:6" x14ac:dyDescent="0.25">
      <c r="A3" s="75" t="s">
        <v>52</v>
      </c>
      <c r="B3" s="75"/>
    </row>
    <row r="4" spans="1:6" x14ac:dyDescent="0.25">
      <c r="A4" s="75" t="s">
        <v>44</v>
      </c>
      <c r="B4" s="75"/>
    </row>
    <row r="5" spans="1:6" x14ac:dyDescent="0.25">
      <c r="A5" s="75" t="s">
        <v>45</v>
      </c>
      <c r="B5" s="75"/>
      <c r="C5" s="75"/>
      <c r="D5" s="75"/>
    </row>
    <row r="7" spans="1:6" ht="60" x14ac:dyDescent="0.25">
      <c r="A7" s="3" t="s">
        <v>0</v>
      </c>
      <c r="B7" s="74" t="s">
        <v>51</v>
      </c>
      <c r="C7" s="74"/>
      <c r="D7" s="3" t="s">
        <v>1</v>
      </c>
      <c r="E7" s="3" t="s">
        <v>2</v>
      </c>
      <c r="F7" s="3" t="s">
        <v>3</v>
      </c>
    </row>
    <row r="8" spans="1:6" x14ac:dyDescent="0.25">
      <c r="A8" s="4">
        <v>1</v>
      </c>
      <c r="B8" s="5" t="s">
        <v>83</v>
      </c>
      <c r="C8" s="1"/>
      <c r="D8" s="6"/>
      <c r="E8" s="6"/>
      <c r="F8" s="6"/>
    </row>
    <row r="9" spans="1:6" x14ac:dyDescent="0.25">
      <c r="A9" s="4">
        <v>2</v>
      </c>
      <c r="B9" s="5" t="s">
        <v>7</v>
      </c>
      <c r="C9" s="1">
        <v>248</v>
      </c>
      <c r="D9" s="6"/>
      <c r="E9" s="6"/>
      <c r="F9" s="6"/>
    </row>
    <row r="10" spans="1:6" x14ac:dyDescent="0.25">
      <c r="A10" s="4">
        <v>3</v>
      </c>
      <c r="B10" s="5" t="s">
        <v>6</v>
      </c>
      <c r="C10" s="1">
        <f>C9</f>
        <v>248</v>
      </c>
      <c r="D10" s="6"/>
      <c r="E10" s="6"/>
      <c r="F10" s="6"/>
    </row>
    <row r="11" spans="1:6" x14ac:dyDescent="0.25">
      <c r="A11" s="4">
        <v>4</v>
      </c>
      <c r="B11" s="5" t="s">
        <v>4</v>
      </c>
      <c r="C11" s="1"/>
      <c r="D11" s="6"/>
      <c r="E11" s="6"/>
      <c r="F11" s="6"/>
    </row>
    <row r="12" spans="1:6" x14ac:dyDescent="0.25">
      <c r="A12" s="4">
        <v>5</v>
      </c>
      <c r="B12" s="5" t="s">
        <v>9</v>
      </c>
      <c r="C12" s="1">
        <v>13847.9</v>
      </c>
      <c r="D12" s="6"/>
      <c r="E12" s="6"/>
      <c r="F12" s="6"/>
    </row>
    <row r="13" spans="1:6" x14ac:dyDescent="0.25">
      <c r="A13" s="4">
        <v>6</v>
      </c>
      <c r="B13" s="5" t="s">
        <v>10</v>
      </c>
      <c r="C13" s="1"/>
      <c r="D13" s="6"/>
      <c r="E13" s="6"/>
      <c r="F13" s="6"/>
    </row>
    <row r="14" spans="1:6" x14ac:dyDescent="0.25">
      <c r="A14" s="4">
        <v>7</v>
      </c>
      <c r="B14" s="71" t="s">
        <v>46</v>
      </c>
      <c r="C14" s="71"/>
      <c r="D14" s="7">
        <v>0</v>
      </c>
      <c r="E14" s="8"/>
      <c r="F14" s="8"/>
    </row>
    <row r="15" spans="1:6" x14ac:dyDescent="0.25">
      <c r="A15" s="4">
        <v>8</v>
      </c>
      <c r="B15" s="71" t="s">
        <v>47</v>
      </c>
      <c r="C15" s="71"/>
      <c r="D15" s="7">
        <v>0</v>
      </c>
      <c r="E15" s="8"/>
      <c r="F15" s="8"/>
    </row>
    <row r="16" spans="1:6" s="15" customFormat="1" ht="30" customHeight="1" x14ac:dyDescent="0.2">
      <c r="A16" s="13">
        <v>9</v>
      </c>
      <c r="B16" s="72" t="s">
        <v>48</v>
      </c>
      <c r="C16" s="72"/>
      <c r="D16" s="14">
        <f>F16*$C$12*9</f>
        <v>5288097.5729999999</v>
      </c>
      <c r="E16" s="14">
        <f>D16/$C$12/9</f>
        <v>42.43</v>
      </c>
      <c r="F16" s="14">
        <f>27.58+3.94+7.77+3.14</f>
        <v>42.43</v>
      </c>
    </row>
    <row r="17" spans="1:6" x14ac:dyDescent="0.25">
      <c r="A17" s="4" t="s">
        <v>5</v>
      </c>
      <c r="B17" s="71" t="s">
        <v>15</v>
      </c>
      <c r="C17" s="71"/>
      <c r="D17" s="8">
        <f>$C$12*F17*9</f>
        <v>491046.53399999999</v>
      </c>
      <c r="E17" s="8">
        <f>D17/9/$C$12</f>
        <v>3.94</v>
      </c>
      <c r="F17" s="8">
        <v>3.94</v>
      </c>
    </row>
    <row r="18" spans="1:6" ht="20.25" customHeight="1" x14ac:dyDescent="0.25">
      <c r="A18" s="4" t="s">
        <v>23</v>
      </c>
      <c r="B18" s="71" t="s">
        <v>16</v>
      </c>
      <c r="C18" s="71"/>
      <c r="D18" s="8">
        <f t="shared" ref="D18:D26" si="0">F18*$C$12*9</f>
        <v>1213906.9140000001</v>
      </c>
      <c r="E18" s="8">
        <f t="shared" ref="E18:E27" si="1">D18/$C$12/9</f>
        <v>9.740000000000002</v>
      </c>
      <c r="F18" s="8">
        <v>9.74</v>
      </c>
    </row>
    <row r="19" spans="1:6" ht="30" customHeight="1" x14ac:dyDescent="0.25">
      <c r="A19" s="4" t="s">
        <v>24</v>
      </c>
      <c r="B19" s="71" t="s">
        <v>17</v>
      </c>
      <c r="C19" s="71"/>
      <c r="D19" s="8">
        <f t="shared" si="0"/>
        <v>352706.01300000004</v>
      </c>
      <c r="E19" s="8">
        <f t="shared" si="1"/>
        <v>2.83</v>
      </c>
      <c r="F19" s="8">
        <v>2.83</v>
      </c>
    </row>
    <row r="20" spans="1:6" x14ac:dyDescent="0.25">
      <c r="A20" s="4" t="s">
        <v>25</v>
      </c>
      <c r="B20" s="71" t="s">
        <v>18</v>
      </c>
      <c r="C20" s="71"/>
      <c r="D20" s="8">
        <f t="shared" si="0"/>
        <v>99704.88</v>
      </c>
      <c r="E20" s="8">
        <f t="shared" si="1"/>
        <v>0.8</v>
      </c>
      <c r="F20" s="8">
        <v>0.8</v>
      </c>
    </row>
    <row r="21" spans="1:6" ht="30" customHeight="1" x14ac:dyDescent="0.25">
      <c r="A21" s="4" t="s">
        <v>26</v>
      </c>
      <c r="B21" s="71" t="s">
        <v>19</v>
      </c>
      <c r="C21" s="71"/>
      <c r="D21" s="8">
        <f t="shared" si="0"/>
        <v>507248.57699999999</v>
      </c>
      <c r="E21" s="8">
        <f t="shared" si="1"/>
        <v>4.07</v>
      </c>
      <c r="F21" s="8">
        <v>4.07</v>
      </c>
    </row>
    <row r="22" spans="1:6" ht="30" customHeight="1" x14ac:dyDescent="0.25">
      <c r="A22" s="4" t="s">
        <v>27</v>
      </c>
      <c r="B22" s="71" t="s">
        <v>20</v>
      </c>
      <c r="C22" s="71"/>
      <c r="D22" s="8">
        <f t="shared" si="0"/>
        <v>563332.57199999993</v>
      </c>
      <c r="E22" s="8">
        <f t="shared" si="1"/>
        <v>4.5199999999999996</v>
      </c>
      <c r="F22" s="8">
        <v>4.5199999999999996</v>
      </c>
    </row>
    <row r="23" spans="1:6" ht="30" customHeight="1" x14ac:dyDescent="0.25">
      <c r="A23" s="4" t="s">
        <v>28</v>
      </c>
      <c r="B23" s="71" t="s">
        <v>21</v>
      </c>
      <c r="C23" s="71"/>
      <c r="D23" s="8">
        <f t="shared" si="0"/>
        <v>401312.14200000005</v>
      </c>
      <c r="E23" s="8">
        <f t="shared" si="1"/>
        <v>3.2200000000000006</v>
      </c>
      <c r="F23" s="8">
        <v>3.22</v>
      </c>
    </row>
    <row r="24" spans="1:6" x14ac:dyDescent="0.25">
      <c r="A24" s="4" t="s">
        <v>35</v>
      </c>
      <c r="B24" s="71" t="s">
        <v>22</v>
      </c>
      <c r="C24" s="71"/>
      <c r="D24" s="8">
        <f t="shared" si="0"/>
        <v>236799.09</v>
      </c>
      <c r="E24" s="8">
        <f t="shared" si="1"/>
        <v>1.9000000000000001</v>
      </c>
      <c r="F24" s="8">
        <v>1.9</v>
      </c>
    </row>
    <row r="25" spans="1:6" x14ac:dyDescent="0.25">
      <c r="A25" s="4" t="s">
        <v>39</v>
      </c>
      <c r="B25" s="69" t="s">
        <v>41</v>
      </c>
      <c r="C25" s="70"/>
      <c r="D25" s="8">
        <f t="shared" si="0"/>
        <v>968383.64699999988</v>
      </c>
      <c r="E25" s="8">
        <f t="shared" si="1"/>
        <v>7.77</v>
      </c>
      <c r="F25" s="8">
        <v>7.77</v>
      </c>
    </row>
    <row r="26" spans="1:6" x14ac:dyDescent="0.25">
      <c r="A26" s="4" t="s">
        <v>40</v>
      </c>
      <c r="B26" s="69" t="s">
        <v>42</v>
      </c>
      <c r="C26" s="70"/>
      <c r="D26" s="8">
        <f t="shared" si="0"/>
        <v>391341.65400000004</v>
      </c>
      <c r="E26" s="8">
        <f t="shared" si="1"/>
        <v>3.1400000000000006</v>
      </c>
      <c r="F26" s="8">
        <v>3.14</v>
      </c>
    </row>
    <row r="27" spans="1:6" ht="30" customHeight="1" x14ac:dyDescent="0.25">
      <c r="A27" s="4">
        <v>10</v>
      </c>
      <c r="B27" s="71" t="s">
        <v>49</v>
      </c>
      <c r="C27" s="71"/>
      <c r="D27" s="8">
        <f>D16</f>
        <v>5288097.5729999999</v>
      </c>
      <c r="E27" s="8">
        <f t="shared" si="1"/>
        <v>42.43</v>
      </c>
      <c r="F27" s="8">
        <f>27.58+3.94</f>
        <v>31.52</v>
      </c>
    </row>
    <row r="28" spans="1:6" ht="25.5" customHeight="1" x14ac:dyDescent="0.25">
      <c r="A28" s="4">
        <v>11</v>
      </c>
      <c r="B28" s="71" t="s">
        <v>50</v>
      </c>
      <c r="C28" s="71"/>
      <c r="D28" s="9">
        <v>4446731.96</v>
      </c>
      <c r="E28" s="8">
        <f>D28/$C$12/10</f>
        <v>32.111236794026532</v>
      </c>
      <c r="F28" s="8"/>
    </row>
    <row r="29" spans="1:6" s="15" customFormat="1" ht="30" customHeight="1" x14ac:dyDescent="0.2">
      <c r="A29" s="13">
        <v>13</v>
      </c>
      <c r="B29" s="72" t="s">
        <v>8</v>
      </c>
      <c r="C29" s="72"/>
      <c r="D29" s="14">
        <f>D28-D14</f>
        <v>4446731.96</v>
      </c>
      <c r="E29" s="14"/>
      <c r="F29" s="14"/>
    </row>
    <row r="30" spans="1:6" x14ac:dyDescent="0.25">
      <c r="A30" s="4">
        <v>14</v>
      </c>
      <c r="B30" s="73" t="s">
        <v>11</v>
      </c>
      <c r="C30" s="73"/>
      <c r="D30" s="8">
        <f>D32</f>
        <v>0</v>
      </c>
      <c r="E30" s="8">
        <f>D30/12/$C$12</f>
        <v>0</v>
      </c>
      <c r="F30" s="8">
        <v>31.02</v>
      </c>
    </row>
    <row r="31" spans="1:6" x14ac:dyDescent="0.25">
      <c r="A31" s="4"/>
      <c r="B31" s="74" t="s">
        <v>12</v>
      </c>
      <c r="C31" s="74"/>
      <c r="D31" s="8"/>
      <c r="E31" s="8"/>
      <c r="F31" s="8"/>
    </row>
    <row r="32" spans="1:6" s="15" customFormat="1" ht="30" customHeight="1" x14ac:dyDescent="0.2">
      <c r="A32" s="13">
        <v>15</v>
      </c>
      <c r="B32" s="72" t="s">
        <v>13</v>
      </c>
      <c r="C32" s="72"/>
      <c r="D32" s="14">
        <f>D33</f>
        <v>0</v>
      </c>
      <c r="E32" s="14">
        <f>D32/12/$C$12</f>
        <v>0</v>
      </c>
      <c r="F32" s="14">
        <f>E32</f>
        <v>0</v>
      </c>
    </row>
    <row r="33" spans="1:6" s="15" customFormat="1" ht="26.25" customHeight="1" x14ac:dyDescent="0.2">
      <c r="A33" s="13">
        <v>16</v>
      </c>
      <c r="B33" s="72" t="s">
        <v>14</v>
      </c>
      <c r="C33" s="72"/>
      <c r="D33" s="14">
        <f>SUM(D34:D38)</f>
        <v>0</v>
      </c>
      <c r="E33" s="14">
        <f>D33/12/$C$12</f>
        <v>0</v>
      </c>
      <c r="F33" s="14">
        <v>31.02</v>
      </c>
    </row>
    <row r="34" spans="1:6" ht="21" customHeight="1" x14ac:dyDescent="0.25">
      <c r="A34" s="10" t="s">
        <v>38</v>
      </c>
      <c r="B34" s="71" t="s">
        <v>15</v>
      </c>
      <c r="C34" s="71"/>
      <c r="D34" s="8"/>
      <c r="E34" s="8"/>
      <c r="F34" s="8"/>
    </row>
    <row r="35" spans="1:6" ht="20.25" customHeight="1" x14ac:dyDescent="0.25">
      <c r="A35" s="16" t="s">
        <v>29</v>
      </c>
      <c r="B35" s="71" t="s">
        <v>18</v>
      </c>
      <c r="C35" s="71"/>
      <c r="D35" s="8"/>
      <c r="E35" s="8"/>
      <c r="F35" s="8"/>
    </row>
    <row r="36" spans="1:6" ht="20.25" customHeight="1" x14ac:dyDescent="0.25">
      <c r="A36" s="16" t="s">
        <v>30</v>
      </c>
      <c r="B36" s="69" t="s">
        <v>41</v>
      </c>
      <c r="C36" s="70"/>
      <c r="D36" s="8"/>
      <c r="E36" s="8"/>
      <c r="F36" s="8"/>
    </row>
    <row r="37" spans="1:6" ht="22.5" customHeight="1" x14ac:dyDescent="0.25">
      <c r="A37" s="4" t="s">
        <v>31</v>
      </c>
      <c r="B37" s="69" t="s">
        <v>53</v>
      </c>
      <c r="C37" s="70"/>
      <c r="D37" s="8"/>
      <c r="E37" s="8"/>
      <c r="F37" s="8"/>
    </row>
    <row r="38" spans="1:6" ht="26.25" customHeight="1" x14ac:dyDescent="0.25">
      <c r="A38" s="4" t="s">
        <v>32</v>
      </c>
      <c r="B38" s="71" t="s">
        <v>54</v>
      </c>
      <c r="C38" s="71"/>
      <c r="D38" s="8"/>
      <c r="E38" s="8"/>
      <c r="F38" s="8"/>
    </row>
    <row r="39" spans="1:6" ht="26.25" customHeight="1" x14ac:dyDescent="0.25">
      <c r="A39" s="4" t="s">
        <v>33</v>
      </c>
      <c r="B39" s="69" t="s">
        <v>62</v>
      </c>
      <c r="C39" s="70"/>
      <c r="D39" s="8"/>
      <c r="E39" s="8"/>
      <c r="F39" s="8"/>
    </row>
    <row r="40" spans="1:6" s="15" customFormat="1" ht="24" customHeight="1" x14ac:dyDescent="0.2">
      <c r="A40" s="13" t="s">
        <v>34</v>
      </c>
      <c r="B40" s="76" t="s">
        <v>55</v>
      </c>
      <c r="C40" s="77"/>
      <c r="D40" s="14"/>
      <c r="E40" s="14"/>
      <c r="F40" s="14"/>
    </row>
    <row r="41" spans="1:6" ht="34.5" customHeight="1" x14ac:dyDescent="0.25">
      <c r="A41" s="4" t="s">
        <v>56</v>
      </c>
      <c r="B41" s="71" t="s">
        <v>58</v>
      </c>
      <c r="C41" s="71"/>
      <c r="D41" s="8"/>
      <c r="E41" s="8"/>
      <c r="F41" s="8"/>
    </row>
    <row r="42" spans="1:6" ht="34.5" customHeight="1" x14ac:dyDescent="0.25">
      <c r="A42" s="17" t="s">
        <v>57</v>
      </c>
      <c r="B42" s="71" t="s">
        <v>59</v>
      </c>
      <c r="C42" s="71"/>
      <c r="D42" s="8"/>
      <c r="E42" s="8"/>
      <c r="F42" s="8"/>
    </row>
    <row r="43" spans="1:6" s="15" customFormat="1" ht="34.5" customHeight="1" x14ac:dyDescent="0.2">
      <c r="A43" s="13" t="s">
        <v>36</v>
      </c>
      <c r="B43" s="78" t="s">
        <v>60</v>
      </c>
      <c r="C43" s="78"/>
      <c r="D43" s="14"/>
      <c r="E43" s="14"/>
      <c r="F43" s="14"/>
    </row>
    <row r="44" spans="1:6" ht="34.5" customHeight="1" x14ac:dyDescent="0.25">
      <c r="A44" s="4" t="s">
        <v>77</v>
      </c>
      <c r="B44" s="71" t="s">
        <v>63</v>
      </c>
      <c r="C44" s="71"/>
      <c r="D44" s="8"/>
      <c r="E44" s="8"/>
      <c r="F44" s="8"/>
    </row>
    <row r="45" spans="1:6" ht="34.5" customHeight="1" x14ac:dyDescent="0.25">
      <c r="A45" s="4" t="s">
        <v>78</v>
      </c>
      <c r="B45" s="79" t="s">
        <v>16</v>
      </c>
      <c r="C45" s="79"/>
      <c r="D45" s="8"/>
      <c r="E45" s="8"/>
      <c r="F45" s="8"/>
    </row>
    <row r="46" spans="1:6" ht="34.5" customHeight="1" x14ac:dyDescent="0.25">
      <c r="A46" s="4" t="s">
        <v>79</v>
      </c>
      <c r="B46" s="71" t="s">
        <v>19</v>
      </c>
      <c r="C46" s="71"/>
      <c r="D46" s="8"/>
      <c r="E46" s="8"/>
      <c r="F46" s="8"/>
    </row>
    <row r="47" spans="1:6" ht="34.5" customHeight="1" x14ac:dyDescent="0.25">
      <c r="A47" s="4" t="s">
        <v>80</v>
      </c>
      <c r="B47" s="71" t="s">
        <v>21</v>
      </c>
      <c r="C47" s="71"/>
      <c r="D47" s="8"/>
      <c r="E47" s="8"/>
      <c r="F47" s="8"/>
    </row>
    <row r="48" spans="1:6" ht="34.5" customHeight="1" x14ac:dyDescent="0.25">
      <c r="A48" s="4" t="s">
        <v>81</v>
      </c>
      <c r="B48" s="69" t="s">
        <v>20</v>
      </c>
      <c r="C48" s="70"/>
      <c r="D48" s="8"/>
      <c r="E48" s="8"/>
      <c r="F48" s="8"/>
    </row>
    <row r="49" spans="1:6" ht="34.5" customHeight="1" x14ac:dyDescent="0.25">
      <c r="A49" s="4" t="s">
        <v>82</v>
      </c>
      <c r="B49" s="79" t="s">
        <v>64</v>
      </c>
      <c r="C49" s="79"/>
      <c r="D49" s="8"/>
      <c r="E49" s="8"/>
      <c r="F49" s="8"/>
    </row>
    <row r="50" spans="1:6" ht="30" customHeight="1" x14ac:dyDescent="0.25">
      <c r="A50" s="4" t="s">
        <v>37</v>
      </c>
      <c r="B50" s="71" t="s">
        <v>61</v>
      </c>
      <c r="C50" s="71"/>
      <c r="D50" s="8">
        <f>D29-D30</f>
        <v>4446731.96</v>
      </c>
      <c r="E50" s="6"/>
      <c r="F50" s="6"/>
    </row>
    <row r="51" spans="1:6" x14ac:dyDescent="0.25">
      <c r="A51" s="11"/>
      <c r="B51" s="12"/>
      <c r="C51" s="12"/>
    </row>
    <row r="52" spans="1:6" x14ac:dyDescent="0.25">
      <c r="A52" s="80" t="s">
        <v>84</v>
      </c>
      <c r="B52" s="80"/>
      <c r="C52" s="80"/>
      <c r="D52" s="80"/>
      <c r="E52" s="80"/>
      <c r="F52" s="80"/>
    </row>
    <row r="53" spans="1:6" x14ac:dyDescent="0.25">
      <c r="A53" s="11"/>
      <c r="B53" s="12"/>
      <c r="C53" s="12"/>
    </row>
    <row r="54" spans="1:6" s="15" customFormat="1" ht="30" customHeight="1" x14ac:dyDescent="0.2">
      <c r="A54" s="13" t="s">
        <v>66</v>
      </c>
      <c r="B54" s="76" t="s">
        <v>65</v>
      </c>
      <c r="C54" s="77"/>
      <c r="D54" s="14">
        <f>SUM(D55:D58)</f>
        <v>489126.42000000004</v>
      </c>
      <c r="E54" s="18"/>
      <c r="F54" s="18"/>
    </row>
    <row r="55" spans="1:6" x14ac:dyDescent="0.25">
      <c r="A55" s="4" t="s">
        <v>67</v>
      </c>
      <c r="B55" s="69" t="s">
        <v>68</v>
      </c>
      <c r="C55" s="70"/>
      <c r="D55" s="8">
        <v>1610.52</v>
      </c>
      <c r="E55" s="6"/>
      <c r="F55" s="6"/>
    </row>
    <row r="56" spans="1:6" x14ac:dyDescent="0.25">
      <c r="A56" s="4" t="s">
        <v>69</v>
      </c>
      <c r="B56" s="81" t="s">
        <v>70</v>
      </c>
      <c r="C56" s="82"/>
      <c r="D56" s="8">
        <v>240000</v>
      </c>
      <c r="E56" s="6"/>
      <c r="F56" s="6"/>
    </row>
    <row r="57" spans="1:6" x14ac:dyDescent="0.25">
      <c r="A57" s="4" t="s">
        <v>73</v>
      </c>
      <c r="B57" s="69" t="s">
        <v>71</v>
      </c>
      <c r="C57" s="70"/>
      <c r="D57" s="8">
        <v>240000</v>
      </c>
      <c r="E57" s="6"/>
      <c r="F57" s="6"/>
    </row>
    <row r="58" spans="1:6" x14ac:dyDescent="0.25">
      <c r="A58" s="4" t="s">
        <v>74</v>
      </c>
      <c r="B58" s="69" t="s">
        <v>72</v>
      </c>
      <c r="C58" s="70"/>
      <c r="D58" s="8">
        <v>7515.9</v>
      </c>
      <c r="E58" s="6"/>
      <c r="F58" s="6"/>
    </row>
    <row r="59" spans="1:6" s="15" customFormat="1" ht="22.5" customHeight="1" x14ac:dyDescent="0.2">
      <c r="A59" s="13">
        <v>21</v>
      </c>
      <c r="B59" s="76" t="s">
        <v>75</v>
      </c>
      <c r="C59" s="77"/>
      <c r="D59" s="14">
        <v>0</v>
      </c>
      <c r="E59" s="18"/>
      <c r="F59" s="18"/>
    </row>
    <row r="60" spans="1:6" s="15" customFormat="1" ht="24" customHeight="1" x14ac:dyDescent="0.2">
      <c r="A60" s="13">
        <v>22</v>
      </c>
      <c r="B60" s="76" t="s">
        <v>76</v>
      </c>
      <c r="C60" s="77"/>
      <c r="D60" s="14">
        <f>D54-D59</f>
        <v>489126.42000000004</v>
      </c>
      <c r="E60" s="18"/>
      <c r="F60" s="18"/>
    </row>
    <row r="61" spans="1:6" x14ac:dyDescent="0.25">
      <c r="A61" s="11"/>
      <c r="B61" s="12"/>
      <c r="C61" s="12"/>
    </row>
    <row r="62" spans="1:6" x14ac:dyDescent="0.25">
      <c r="A62" s="11"/>
      <c r="B62" s="12"/>
      <c r="C62" s="12"/>
    </row>
    <row r="63" spans="1:6" x14ac:dyDescent="0.25">
      <c r="A63" s="11"/>
      <c r="B63" s="12"/>
      <c r="C63" s="12"/>
    </row>
    <row r="64" spans="1:6" x14ac:dyDescent="0.25">
      <c r="A64" s="11"/>
      <c r="B64" s="12"/>
      <c r="C64" s="12"/>
    </row>
    <row r="65" spans="1:3" x14ac:dyDescent="0.25">
      <c r="A65" s="11"/>
      <c r="B65" s="12"/>
      <c r="C65" s="12"/>
    </row>
    <row r="66" spans="1:3" x14ac:dyDescent="0.25">
      <c r="B66" s="12"/>
      <c r="C66" s="12"/>
    </row>
    <row r="67" spans="1:3" x14ac:dyDescent="0.25">
      <c r="B67" s="12"/>
      <c r="C67" s="12"/>
    </row>
    <row r="68" spans="1:3" x14ac:dyDescent="0.25">
      <c r="B68" s="12"/>
      <c r="C68" s="12"/>
    </row>
    <row r="69" spans="1:3" x14ac:dyDescent="0.25">
      <c r="B69" s="12"/>
      <c r="C69" s="12"/>
    </row>
    <row r="70" spans="1:3" x14ac:dyDescent="0.25">
      <c r="B70" s="12"/>
      <c r="C70" s="12"/>
    </row>
    <row r="71" spans="1:3" x14ac:dyDescent="0.25">
      <c r="B71" s="12"/>
      <c r="C71" s="12"/>
    </row>
    <row r="72" spans="1:3" x14ac:dyDescent="0.25">
      <c r="B72" s="12"/>
      <c r="C72" s="12"/>
    </row>
  </sheetData>
  <mergeCells count="50">
    <mergeCell ref="B59:C59"/>
    <mergeCell ref="B60:C60"/>
    <mergeCell ref="A52:F52"/>
    <mergeCell ref="B54:C54"/>
    <mergeCell ref="B55:C55"/>
    <mergeCell ref="B56:C56"/>
    <mergeCell ref="B57:C57"/>
    <mergeCell ref="B58:C58"/>
    <mergeCell ref="B19:C19"/>
    <mergeCell ref="B7:C7"/>
    <mergeCell ref="B14:C14"/>
    <mergeCell ref="B15:C15"/>
    <mergeCell ref="B16:C16"/>
    <mergeCell ref="B18:C18"/>
    <mergeCell ref="B20:C20"/>
    <mergeCell ref="B21:C21"/>
    <mergeCell ref="B22:C22"/>
    <mergeCell ref="B23:C23"/>
    <mergeCell ref="B27:C27"/>
    <mergeCell ref="B24:C24"/>
    <mergeCell ref="B25:C25"/>
    <mergeCell ref="B26:C26"/>
    <mergeCell ref="B38:C38"/>
    <mergeCell ref="B41:C41"/>
    <mergeCell ref="B50:C50"/>
    <mergeCell ref="B40:C40"/>
    <mergeCell ref="B37:C37"/>
    <mergeCell ref="B42:C42"/>
    <mergeCell ref="B43:C43"/>
    <mergeCell ref="B39:C39"/>
    <mergeCell ref="B44:C44"/>
    <mergeCell ref="B45:C45"/>
    <mergeCell ref="B46:C46"/>
    <mergeCell ref="B47:C47"/>
    <mergeCell ref="B49:C49"/>
    <mergeCell ref="B48:C48"/>
    <mergeCell ref="A2:B2"/>
    <mergeCell ref="A3:B3"/>
    <mergeCell ref="A4:B4"/>
    <mergeCell ref="A5:D5"/>
    <mergeCell ref="B17:C17"/>
    <mergeCell ref="B36:C36"/>
    <mergeCell ref="B28:C28"/>
    <mergeCell ref="B29:C29"/>
    <mergeCell ref="B33:C33"/>
    <mergeCell ref="B34:C34"/>
    <mergeCell ref="B35:C35"/>
    <mergeCell ref="B30:C30"/>
    <mergeCell ref="B31:C31"/>
    <mergeCell ref="B32:C32"/>
  </mergeCells>
  <pageMargins left="0.23622047244094491" right="0.23622047244094491" top="0.19685039370078741" bottom="0.19685039370078741" header="0.19685039370078741" footer="0.19685039370078741"/>
  <pageSetup paperSize="9" scale="64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8"/>
  <sheetViews>
    <sheetView tabSelected="1" topLeftCell="A72" workbookViewId="0">
      <selection activeCell="A90" sqref="A90"/>
    </sheetView>
  </sheetViews>
  <sheetFormatPr defaultRowHeight="16.5" x14ac:dyDescent="0.25"/>
  <cols>
    <col min="1" max="1" width="15.42578125" style="25" bestFit="1" customWidth="1"/>
    <col min="2" max="2" width="87.28515625" style="25" customWidth="1"/>
    <col min="3" max="3" width="27.140625" style="25" customWidth="1"/>
    <col min="4" max="4" width="25.7109375" style="25" customWidth="1"/>
    <col min="5" max="5" width="20" style="25" customWidth="1"/>
    <col min="6" max="6" width="15.7109375" style="25" hidden="1" customWidth="1"/>
    <col min="7" max="16384" width="9.140625" style="25"/>
  </cols>
  <sheetData>
    <row r="2" spans="1:6" s="38" customFormat="1" x14ac:dyDescent="0.25">
      <c r="A2" s="87" t="s">
        <v>43</v>
      </c>
      <c r="B2" s="87"/>
    </row>
    <row r="3" spans="1:6" s="38" customFormat="1" x14ac:dyDescent="0.25">
      <c r="A3" s="87" t="s">
        <v>52</v>
      </c>
      <c r="B3" s="87"/>
    </row>
    <row r="4" spans="1:6" s="38" customFormat="1" x14ac:dyDescent="0.25">
      <c r="A4" s="87" t="s">
        <v>150</v>
      </c>
      <c r="B4" s="87"/>
    </row>
    <row r="5" spans="1:6" s="38" customFormat="1" ht="20.25" x14ac:dyDescent="0.3">
      <c r="A5" s="91" t="s">
        <v>151</v>
      </c>
      <c r="B5" s="91"/>
      <c r="C5" s="91"/>
      <c r="D5" s="91"/>
      <c r="E5" s="91"/>
    </row>
    <row r="6" spans="1:6" x14ac:dyDescent="0.25">
      <c r="A6" s="31"/>
      <c r="B6" s="31"/>
      <c r="C6" s="31"/>
      <c r="D6" s="31"/>
      <c r="E6" s="31"/>
      <c r="F6" s="31"/>
    </row>
    <row r="7" spans="1:6" s="38" customFormat="1" ht="55.5" customHeight="1" x14ac:dyDescent="0.25">
      <c r="A7" s="58" t="s">
        <v>0</v>
      </c>
      <c r="B7" s="88" t="s">
        <v>51</v>
      </c>
      <c r="C7" s="88"/>
      <c r="D7" s="64" t="s">
        <v>1</v>
      </c>
      <c r="E7" s="64" t="s">
        <v>2</v>
      </c>
      <c r="F7" s="58" t="s">
        <v>3</v>
      </c>
    </row>
    <row r="8" spans="1:6" s="38" customFormat="1" ht="32.25" customHeight="1" x14ac:dyDescent="0.3">
      <c r="A8" s="36">
        <v>1</v>
      </c>
      <c r="B8" s="89" t="s">
        <v>130</v>
      </c>
      <c r="C8" s="90"/>
      <c r="D8" s="45"/>
      <c r="E8" s="45"/>
      <c r="F8" s="45"/>
    </row>
    <row r="9" spans="1:6" s="38" customFormat="1" ht="20.25" x14ac:dyDescent="0.3">
      <c r="A9" s="36">
        <v>2</v>
      </c>
      <c r="B9" s="65" t="s">
        <v>7</v>
      </c>
      <c r="C9" s="42">
        <v>105</v>
      </c>
      <c r="D9" s="45"/>
      <c r="E9" s="45"/>
      <c r="F9" s="45"/>
    </row>
    <row r="10" spans="1:6" s="38" customFormat="1" ht="20.25" x14ac:dyDescent="0.3">
      <c r="A10" s="36">
        <v>3</v>
      </c>
      <c r="B10" s="65" t="s">
        <v>6</v>
      </c>
      <c r="C10" s="42">
        <v>104</v>
      </c>
      <c r="D10" s="45"/>
      <c r="E10" s="45"/>
      <c r="F10" s="45"/>
    </row>
    <row r="11" spans="1:6" s="38" customFormat="1" ht="21" customHeight="1" x14ac:dyDescent="0.3">
      <c r="A11" s="36">
        <v>4</v>
      </c>
      <c r="B11" s="65" t="s">
        <v>118</v>
      </c>
      <c r="C11" s="42">
        <v>310</v>
      </c>
      <c r="D11" s="45"/>
      <c r="E11" s="45"/>
      <c r="F11" s="45"/>
    </row>
    <row r="12" spans="1:6" s="38" customFormat="1" ht="25.5" customHeight="1" x14ac:dyDescent="0.3">
      <c r="A12" s="36">
        <v>5</v>
      </c>
      <c r="B12" s="65" t="s">
        <v>9</v>
      </c>
      <c r="C12" s="66">
        <v>6647.21</v>
      </c>
      <c r="D12" s="45"/>
      <c r="E12" s="45"/>
      <c r="F12" s="45"/>
    </row>
    <row r="13" spans="1:6" s="38" customFormat="1" ht="24.75" customHeight="1" x14ac:dyDescent="0.3">
      <c r="A13" s="36">
        <v>6</v>
      </c>
      <c r="B13" s="65" t="s">
        <v>10</v>
      </c>
      <c r="C13" s="42">
        <v>0</v>
      </c>
      <c r="D13" s="45"/>
      <c r="E13" s="45"/>
      <c r="F13" s="45"/>
    </row>
    <row r="14" spans="1:6" s="38" customFormat="1" ht="20.25" x14ac:dyDescent="0.3">
      <c r="A14" s="36">
        <v>7</v>
      </c>
      <c r="B14" s="85" t="s">
        <v>152</v>
      </c>
      <c r="C14" s="85"/>
      <c r="D14" s="66">
        <v>0</v>
      </c>
      <c r="E14" s="37"/>
      <c r="F14" s="37"/>
    </row>
    <row r="15" spans="1:6" s="38" customFormat="1" ht="20.25" x14ac:dyDescent="0.3">
      <c r="A15" s="36">
        <v>8</v>
      </c>
      <c r="B15" s="85" t="s">
        <v>172</v>
      </c>
      <c r="C15" s="85"/>
      <c r="D15" s="66">
        <v>136758.24</v>
      </c>
      <c r="E15" s="37"/>
      <c r="F15" s="37"/>
    </row>
    <row r="16" spans="1:6" s="41" customFormat="1" ht="28.5" customHeight="1" x14ac:dyDescent="0.3">
      <c r="A16" s="39">
        <v>9</v>
      </c>
      <c r="B16" s="86" t="s">
        <v>153</v>
      </c>
      <c r="C16" s="86"/>
      <c r="D16" s="40">
        <f>SUM(D17:D25)</f>
        <v>3531470.77</v>
      </c>
      <c r="E16" s="40">
        <f>D16/12/($C$12+$C$13)</f>
        <v>44.272594191146865</v>
      </c>
      <c r="F16" s="40">
        <f>27.58+3.94+7.77+3.14</f>
        <v>42.43</v>
      </c>
    </row>
    <row r="17" spans="1:6" s="38" customFormat="1" ht="21.75" customHeight="1" x14ac:dyDescent="0.3">
      <c r="A17" s="36" t="s">
        <v>5</v>
      </c>
      <c r="B17" s="85" t="s">
        <v>15</v>
      </c>
      <c r="C17" s="85"/>
      <c r="D17" s="37">
        <f>[1]TDSheet!$K$226</f>
        <v>137971.18</v>
      </c>
      <c r="E17" s="37">
        <f>D17/6/(C12+$C$13)</f>
        <v>3.4593756879452684</v>
      </c>
      <c r="F17" s="37"/>
    </row>
    <row r="18" spans="1:6" s="38" customFormat="1" ht="21.75" customHeight="1" x14ac:dyDescent="0.3">
      <c r="A18" s="36" t="s">
        <v>23</v>
      </c>
      <c r="B18" s="85" t="s">
        <v>85</v>
      </c>
      <c r="C18" s="85"/>
      <c r="D18" s="37">
        <f>[1]TDSheet!$U$226</f>
        <v>2322604.94</v>
      </c>
      <c r="E18" s="37">
        <f>D18/12/($C$12+$C$13)</f>
        <v>29.117541294267316</v>
      </c>
      <c r="F18" s="37"/>
    </row>
    <row r="19" spans="1:6" s="38" customFormat="1" ht="21.75" customHeight="1" x14ac:dyDescent="0.3">
      <c r="A19" s="36" t="s">
        <v>24</v>
      </c>
      <c r="B19" s="57" t="s">
        <v>132</v>
      </c>
      <c r="C19" s="57"/>
      <c r="D19" s="37">
        <f>[1]TDSheet!$T$226</f>
        <v>29296.23</v>
      </c>
      <c r="E19" s="37">
        <f>D19/6/C11</f>
        <v>15.750661290322581</v>
      </c>
      <c r="F19" s="37"/>
    </row>
    <row r="20" spans="1:6" s="38" customFormat="1" ht="21.75" customHeight="1" x14ac:dyDescent="0.3">
      <c r="A20" s="36" t="s">
        <v>25</v>
      </c>
      <c r="B20" s="85" t="s">
        <v>42</v>
      </c>
      <c r="C20" s="85"/>
      <c r="D20" s="37">
        <f>[1]TDSheet!$Q$226</f>
        <v>254433.86</v>
      </c>
      <c r="E20" s="37">
        <f t="shared" ref="E20:E27" si="0">D20/12/($C$12+$C$13)</f>
        <v>3.1897324842552992</v>
      </c>
      <c r="F20" s="37"/>
    </row>
    <row r="21" spans="1:6" s="38" customFormat="1" ht="21.75" customHeight="1" x14ac:dyDescent="0.3">
      <c r="A21" s="36" t="s">
        <v>26</v>
      </c>
      <c r="B21" s="85" t="s">
        <v>41</v>
      </c>
      <c r="C21" s="85"/>
      <c r="D21" s="37">
        <f>[1]TDSheet!$O$226</f>
        <v>630102.72</v>
      </c>
      <c r="E21" s="37">
        <f t="shared" si="0"/>
        <v>7.8993382185909571</v>
      </c>
      <c r="F21" s="37"/>
    </row>
    <row r="22" spans="1:6" s="38" customFormat="1" ht="21.75" customHeight="1" x14ac:dyDescent="0.3">
      <c r="A22" s="36" t="s">
        <v>27</v>
      </c>
      <c r="B22" s="85" t="s">
        <v>86</v>
      </c>
      <c r="C22" s="85"/>
      <c r="D22" s="37">
        <f>[1]TDSheet!$L$226</f>
        <v>55233.83</v>
      </c>
      <c r="E22" s="37">
        <f t="shared" si="0"/>
        <v>0.69244377214901698</v>
      </c>
      <c r="F22" s="37"/>
    </row>
    <row r="23" spans="1:6" s="38" customFormat="1" ht="21.75" customHeight="1" x14ac:dyDescent="0.3">
      <c r="A23" s="36" t="s">
        <v>28</v>
      </c>
      <c r="B23" s="85" t="s">
        <v>87</v>
      </c>
      <c r="C23" s="85"/>
      <c r="D23" s="37">
        <f>[1]TDSheet!$V$226</f>
        <v>16350.9</v>
      </c>
      <c r="E23" s="37">
        <f t="shared" si="0"/>
        <v>0.20498449725523943</v>
      </c>
      <c r="F23" s="37"/>
    </row>
    <row r="24" spans="1:6" s="38" customFormat="1" ht="21.75" customHeight="1" x14ac:dyDescent="0.3">
      <c r="A24" s="36" t="s">
        <v>35</v>
      </c>
      <c r="B24" s="85" t="s">
        <v>88</v>
      </c>
      <c r="C24" s="85"/>
      <c r="D24" s="37">
        <f>[1]TDSheet!$N$226</f>
        <v>47457.87</v>
      </c>
      <c r="E24" s="37">
        <f t="shared" si="0"/>
        <v>0.59495976507436954</v>
      </c>
      <c r="F24" s="37"/>
    </row>
    <row r="25" spans="1:6" s="38" customFormat="1" ht="21.75" customHeight="1" x14ac:dyDescent="0.3">
      <c r="A25" s="36" t="s">
        <v>39</v>
      </c>
      <c r="B25" s="85" t="s">
        <v>89</v>
      </c>
      <c r="C25" s="85"/>
      <c r="D25" s="37">
        <f>[1]TDSheet!$W$226</f>
        <v>38019.24</v>
      </c>
      <c r="E25" s="37">
        <f t="shared" si="0"/>
        <v>0.47663154917627093</v>
      </c>
      <c r="F25" s="37"/>
    </row>
    <row r="26" spans="1:6" s="41" customFormat="1" ht="38.25" customHeight="1" x14ac:dyDescent="0.3">
      <c r="A26" s="39">
        <v>10</v>
      </c>
      <c r="B26" s="86" t="s">
        <v>154</v>
      </c>
      <c r="C26" s="86"/>
      <c r="D26" s="40">
        <f>D16</f>
        <v>3531470.77</v>
      </c>
      <c r="E26" s="40">
        <f t="shared" si="0"/>
        <v>44.272594191146865</v>
      </c>
      <c r="F26" s="40">
        <f>27.58+3.94</f>
        <v>31.52</v>
      </c>
    </row>
    <row r="27" spans="1:6" s="38" customFormat="1" ht="33.75" customHeight="1" x14ac:dyDescent="0.3">
      <c r="A27" s="36">
        <v>11</v>
      </c>
      <c r="B27" s="85" t="s">
        <v>155</v>
      </c>
      <c r="C27" s="85"/>
      <c r="D27" s="28">
        <f>[1]TDSheet!$AA$226+[1]TDSheet!$AC$226+[1]TDSheet!$AE$226+[1]TDSheet!$AF$226+[1]TDSheet!$AI$226+[1]TDSheet!$AK$226+[1]TDSheet!$AL$226+[1]TDSheet!$AN$226+[1]TDSheet!$AO$226-300667</f>
        <v>3187985.3800000004</v>
      </c>
      <c r="E27" s="37">
        <f t="shared" si="0"/>
        <v>39.966459361646969</v>
      </c>
      <c r="F27" s="37"/>
    </row>
    <row r="28" spans="1:6" s="41" customFormat="1" ht="45" customHeight="1" x14ac:dyDescent="0.3">
      <c r="A28" s="39">
        <v>12</v>
      </c>
      <c r="B28" s="86" t="s">
        <v>117</v>
      </c>
      <c r="C28" s="86"/>
      <c r="D28" s="40">
        <f>D27-D14-D15</f>
        <v>3051227.1400000006</v>
      </c>
      <c r="E28" s="40">
        <f>D28/12/($C$12+$C$13)</f>
        <v>38.251977646762079</v>
      </c>
      <c r="F28" s="40"/>
    </row>
    <row r="29" spans="1:6" s="55" customFormat="1" ht="41.25" customHeight="1" x14ac:dyDescent="0.3">
      <c r="A29" s="53">
        <v>13</v>
      </c>
      <c r="B29" s="92" t="s">
        <v>11</v>
      </c>
      <c r="C29" s="92"/>
      <c r="D29" s="54">
        <f>D31</f>
        <v>3229276.8968679998</v>
      </c>
      <c r="E29" s="54">
        <f>D29/12/($C$12+$C$13)</f>
        <v>40.484114097844554</v>
      </c>
      <c r="F29" s="54">
        <v>31.02</v>
      </c>
    </row>
    <row r="30" spans="1:6" s="38" customFormat="1" ht="20.25" x14ac:dyDescent="0.3">
      <c r="A30" s="36"/>
      <c r="B30" s="93" t="s">
        <v>12</v>
      </c>
      <c r="C30" s="93"/>
      <c r="D30" s="37"/>
      <c r="E30" s="37"/>
      <c r="F30" s="37"/>
    </row>
    <row r="31" spans="1:6" s="55" customFormat="1" ht="45.75" customHeight="1" x14ac:dyDescent="0.3">
      <c r="A31" s="53">
        <v>14</v>
      </c>
      <c r="B31" s="96" t="s">
        <v>127</v>
      </c>
      <c r="C31" s="96"/>
      <c r="D31" s="54">
        <f>D32+D43+D46</f>
        <v>3229276.8968679998</v>
      </c>
      <c r="E31" s="54">
        <f>D31/12/($C$12+$C$13)</f>
        <v>40.484114097844554</v>
      </c>
      <c r="F31" s="54">
        <f>E31</f>
        <v>40.484114097844554</v>
      </c>
    </row>
    <row r="32" spans="1:6" s="55" customFormat="1" ht="32.25" customHeight="1" x14ac:dyDescent="0.3">
      <c r="A32" s="53">
        <v>15</v>
      </c>
      <c r="B32" s="96" t="s">
        <v>14</v>
      </c>
      <c r="C32" s="96"/>
      <c r="D32" s="54">
        <f>SUM(D33:D42)</f>
        <v>1085945.0584</v>
      </c>
      <c r="E32" s="54">
        <f t="shared" ref="E32:E42" si="1">D32/12/($C$12+$C$13)</f>
        <v>13.614045822733647</v>
      </c>
      <c r="F32" s="54">
        <v>31.02</v>
      </c>
    </row>
    <row r="33" spans="1:6" s="38" customFormat="1" ht="26.25" customHeight="1" x14ac:dyDescent="0.3">
      <c r="A33" s="49" t="s">
        <v>119</v>
      </c>
      <c r="B33" s="85" t="s">
        <v>15</v>
      </c>
      <c r="C33" s="85"/>
      <c r="D33" s="37">
        <f>D17</f>
        <v>137971.18</v>
      </c>
      <c r="E33" s="37">
        <f>D33/6/($C$12+$C$13)</f>
        <v>3.4593756879452684</v>
      </c>
      <c r="F33" s="37"/>
    </row>
    <row r="34" spans="1:6" s="38" customFormat="1" ht="26.25" customHeight="1" x14ac:dyDescent="0.3">
      <c r="A34" s="49" t="s">
        <v>120</v>
      </c>
      <c r="B34" s="85" t="s">
        <v>18</v>
      </c>
      <c r="C34" s="85"/>
      <c r="D34" s="37">
        <f>1049*2*1.6+(1049+964.7)*2*1.6</f>
        <v>9800.64</v>
      </c>
      <c r="E34" s="37">
        <f t="shared" si="1"/>
        <v>0.12286658613162514</v>
      </c>
      <c r="F34" s="37"/>
    </row>
    <row r="35" spans="1:6" s="38" customFormat="1" ht="26.25" customHeight="1" x14ac:dyDescent="0.3">
      <c r="A35" s="49" t="s">
        <v>121</v>
      </c>
      <c r="B35" s="83" t="s">
        <v>41</v>
      </c>
      <c r="C35" s="84"/>
      <c r="D35" s="37">
        <f>D21</f>
        <v>630102.72</v>
      </c>
      <c r="E35" s="37">
        <f t="shared" si="1"/>
        <v>7.8993382185909571</v>
      </c>
      <c r="F35" s="37"/>
    </row>
    <row r="36" spans="1:6" s="38" customFormat="1" ht="26.25" customHeight="1" x14ac:dyDescent="0.3">
      <c r="A36" s="49" t="s">
        <v>122</v>
      </c>
      <c r="B36" s="83" t="s">
        <v>53</v>
      </c>
      <c r="C36" s="84"/>
      <c r="D36" s="37">
        <f>1250*12</f>
        <v>15000</v>
      </c>
      <c r="E36" s="37">
        <f t="shared" si="1"/>
        <v>0.1880488204825784</v>
      </c>
      <c r="F36" s="37"/>
    </row>
    <row r="37" spans="1:6" s="38" customFormat="1" ht="26.25" customHeight="1" x14ac:dyDescent="0.3">
      <c r="A37" s="49" t="s">
        <v>123</v>
      </c>
      <c r="B37" s="85" t="s">
        <v>142</v>
      </c>
      <c r="C37" s="85"/>
      <c r="D37" s="37">
        <f>90*50+1*7*1300</f>
        <v>13600</v>
      </c>
      <c r="E37" s="37">
        <f t="shared" si="1"/>
        <v>0.17049759723753774</v>
      </c>
      <c r="F37" s="37"/>
    </row>
    <row r="38" spans="1:6" s="38" customFormat="1" ht="26.25" customHeight="1" x14ac:dyDescent="0.3">
      <c r="A38" s="49" t="s">
        <v>124</v>
      </c>
      <c r="B38" s="83" t="s">
        <v>62</v>
      </c>
      <c r="C38" s="84"/>
      <c r="D38" s="37">
        <f>0.42*C12*12</f>
        <v>33501.938399999999</v>
      </c>
      <c r="E38" s="37">
        <f t="shared" si="1"/>
        <v>0.42</v>
      </c>
      <c r="F38" s="37"/>
    </row>
    <row r="39" spans="1:6" s="38" customFormat="1" ht="26.25" customHeight="1" x14ac:dyDescent="0.3">
      <c r="A39" s="49" t="s">
        <v>125</v>
      </c>
      <c r="B39" s="83" t="s">
        <v>156</v>
      </c>
      <c r="C39" s="84"/>
      <c r="D39" s="37">
        <v>140016.35</v>
      </c>
      <c r="E39" s="37">
        <f t="shared" si="1"/>
        <v>1.7553272977183911</v>
      </c>
      <c r="F39" s="37"/>
    </row>
    <row r="40" spans="1:6" s="38" customFormat="1" ht="26.25" customHeight="1" x14ac:dyDescent="0.3">
      <c r="A40" s="49" t="s">
        <v>141</v>
      </c>
      <c r="B40" s="59" t="s">
        <v>132</v>
      </c>
      <c r="C40" s="60"/>
      <c r="D40" s="37">
        <f>D19</f>
        <v>29296.23</v>
      </c>
      <c r="E40" s="37">
        <f>D40/6/C11</f>
        <v>15.750661290322581</v>
      </c>
      <c r="F40" s="37"/>
    </row>
    <row r="41" spans="1:6" s="38" customFormat="1" ht="26.25" customHeight="1" x14ac:dyDescent="0.3">
      <c r="A41" s="49" t="s">
        <v>149</v>
      </c>
      <c r="B41" s="83" t="s">
        <v>148</v>
      </c>
      <c r="C41" s="84"/>
      <c r="D41" s="37">
        <v>36000</v>
      </c>
      <c r="E41" s="37">
        <f t="shared" si="1"/>
        <v>0.45131716915818815</v>
      </c>
      <c r="F41" s="37"/>
    </row>
    <row r="42" spans="1:6" s="38" customFormat="1" ht="26.25" customHeight="1" x14ac:dyDescent="0.3">
      <c r="A42" s="49"/>
      <c r="B42" s="83" t="s">
        <v>157</v>
      </c>
      <c r="C42" s="84"/>
      <c r="D42" s="37">
        <v>40656</v>
      </c>
      <c r="E42" s="37">
        <f t="shared" si="1"/>
        <v>0.50968752303598053</v>
      </c>
      <c r="F42" s="37"/>
    </row>
    <row r="43" spans="1:6" s="41" customFormat="1" ht="26.25" customHeight="1" x14ac:dyDescent="0.3">
      <c r="A43" s="39" t="s">
        <v>126</v>
      </c>
      <c r="B43" s="98" t="s">
        <v>114</v>
      </c>
      <c r="C43" s="99"/>
      <c r="D43" s="40">
        <f>D44+D45</f>
        <v>40454.322368000001</v>
      </c>
      <c r="E43" s="40">
        <f>D43/12/($C$12+$C$13)</f>
        <v>0.50715917364829255</v>
      </c>
      <c r="F43" s="40"/>
    </row>
    <row r="44" spans="1:6" s="38" customFormat="1" ht="26.25" hidden="1" customHeight="1" x14ac:dyDescent="0.3">
      <c r="A44" s="36" t="s">
        <v>38</v>
      </c>
      <c r="B44" s="85" t="s">
        <v>58</v>
      </c>
      <c r="C44" s="85"/>
      <c r="D44" s="37">
        <f>0*1.88</f>
        <v>0</v>
      </c>
      <c r="E44" s="37">
        <f t="shared" ref="E44" si="2">D44/9/($C$12+$C$13)</f>
        <v>0</v>
      </c>
      <c r="F44" s="37"/>
    </row>
    <row r="45" spans="1:6" s="38" customFormat="1" ht="26.25" customHeight="1" x14ac:dyDescent="0.3">
      <c r="A45" s="48" t="s">
        <v>38</v>
      </c>
      <c r="B45" s="85" t="s">
        <v>59</v>
      </c>
      <c r="C45" s="85"/>
      <c r="D45" s="37">
        <f>738.7568*54.76</f>
        <v>40454.322368000001</v>
      </c>
      <c r="E45" s="37">
        <f>D45/12/($C$12+$C$13)</f>
        <v>0.50715917364829255</v>
      </c>
      <c r="F45" s="37"/>
    </row>
    <row r="46" spans="1:6" s="55" customFormat="1" ht="35.25" customHeight="1" x14ac:dyDescent="0.3">
      <c r="A46" s="53" t="s">
        <v>34</v>
      </c>
      <c r="B46" s="100" t="s">
        <v>60</v>
      </c>
      <c r="C46" s="100"/>
      <c r="D46" s="54">
        <f>D47+D49+D57+D64+D76</f>
        <v>2102877.5161000001</v>
      </c>
      <c r="E46" s="54">
        <f t="shared" ref="E46:E51" si="3">D46/12/($C$12+$C$13)</f>
        <v>26.36290910146262</v>
      </c>
      <c r="F46" s="54"/>
    </row>
    <row r="47" spans="1:6" s="41" customFormat="1" ht="39.75" customHeight="1" x14ac:dyDescent="0.3">
      <c r="A47" s="39" t="s">
        <v>56</v>
      </c>
      <c r="B47" s="86" t="s">
        <v>105</v>
      </c>
      <c r="C47" s="86"/>
      <c r="D47" s="40">
        <f>221.56*(C12+C13)+D48</f>
        <v>1526598.2486</v>
      </c>
      <c r="E47" s="40">
        <f t="shared" si="3"/>
        <v>19.138333333333332</v>
      </c>
      <c r="F47" s="40"/>
    </row>
    <row r="48" spans="1:6" s="52" customFormat="1" ht="26.25" customHeight="1" x14ac:dyDescent="0.3">
      <c r="A48" s="50" t="s">
        <v>173</v>
      </c>
      <c r="B48" s="97" t="s">
        <v>128</v>
      </c>
      <c r="C48" s="97"/>
      <c r="D48" s="51">
        <f>8.1*(C12+C13)</f>
        <v>53842.400999999998</v>
      </c>
      <c r="E48" s="51">
        <f t="shared" si="3"/>
        <v>0.67500000000000004</v>
      </c>
      <c r="F48" s="51"/>
    </row>
    <row r="49" spans="1:6" s="41" customFormat="1" ht="39.75" customHeight="1" x14ac:dyDescent="0.3">
      <c r="A49" s="39" t="s">
        <v>57</v>
      </c>
      <c r="B49" s="86" t="s">
        <v>19</v>
      </c>
      <c r="C49" s="86"/>
      <c r="D49" s="40">
        <f>D50+D51+D52+D53+D54+D55+D56</f>
        <v>146766.01569999999</v>
      </c>
      <c r="E49" s="40">
        <f t="shared" si="3"/>
        <v>1.839945075954172</v>
      </c>
      <c r="F49" s="40"/>
    </row>
    <row r="50" spans="1:6" s="52" customFormat="1" ht="29.25" customHeight="1" x14ac:dyDescent="0.3">
      <c r="A50" s="50" t="s">
        <v>174</v>
      </c>
      <c r="B50" s="61" t="s">
        <v>106</v>
      </c>
      <c r="C50" s="62"/>
      <c r="D50" s="51">
        <f>5.57*(C12+C13)</f>
        <v>37024.959699999999</v>
      </c>
      <c r="E50" s="51">
        <f t="shared" si="3"/>
        <v>0.46416666666666662</v>
      </c>
      <c r="F50" s="51"/>
    </row>
    <row r="51" spans="1:6" s="38" customFormat="1" ht="29.25" customHeight="1" x14ac:dyDescent="0.3">
      <c r="A51" s="36" t="s">
        <v>175</v>
      </c>
      <c r="B51" s="83" t="s">
        <v>163</v>
      </c>
      <c r="C51" s="84"/>
      <c r="D51" s="37">
        <f>2.1*2631.68</f>
        <v>5526.5280000000002</v>
      </c>
      <c r="E51" s="37">
        <f t="shared" si="3"/>
        <v>6.9283804784262881E-2</v>
      </c>
      <c r="F51" s="37"/>
    </row>
    <row r="52" spans="1:6" s="38" customFormat="1" ht="29.25" customHeight="1" x14ac:dyDescent="0.3">
      <c r="A52" s="36" t="s">
        <v>176</v>
      </c>
      <c r="B52" s="83" t="s">
        <v>162</v>
      </c>
      <c r="C52" s="84"/>
      <c r="D52" s="37">
        <f>2*2631.68</f>
        <v>5263.36</v>
      </c>
      <c r="E52" s="37">
        <f>D52/12/($C$12+$C$13)</f>
        <v>6.5984575985012256E-2</v>
      </c>
      <c r="F52" s="37"/>
    </row>
    <row r="53" spans="1:6" s="38" customFormat="1" ht="29.25" customHeight="1" x14ac:dyDescent="0.3">
      <c r="A53" s="36" t="s">
        <v>177</v>
      </c>
      <c r="B53" s="83" t="s">
        <v>164</v>
      </c>
      <c r="C53" s="84"/>
      <c r="D53" s="37">
        <f>1.5*2631.68</f>
        <v>3947.5199999999995</v>
      </c>
      <c r="E53" s="37">
        <f>D53/12/($C$12+$C$13)</f>
        <v>4.9488431988759192E-2</v>
      </c>
      <c r="F53" s="37"/>
    </row>
    <row r="54" spans="1:6" s="38" customFormat="1" ht="29.25" customHeight="1" x14ac:dyDescent="0.3">
      <c r="A54" s="36" t="s">
        <v>178</v>
      </c>
      <c r="B54" s="83" t="s">
        <v>107</v>
      </c>
      <c r="C54" s="84"/>
      <c r="D54" s="37">
        <f>4.1*2631.68</f>
        <v>10789.887999999999</v>
      </c>
      <c r="E54" s="37">
        <f>D54/12/($C$12+$C$13)</f>
        <v>0.13526838076927511</v>
      </c>
      <c r="F54" s="37"/>
    </row>
    <row r="55" spans="1:6" s="38" customFormat="1" ht="39" customHeight="1" x14ac:dyDescent="0.3">
      <c r="A55" s="36" t="s">
        <v>179</v>
      </c>
      <c r="B55" s="83" t="s">
        <v>165</v>
      </c>
      <c r="C55" s="84"/>
      <c r="D55" s="37">
        <f>10*2631.68</f>
        <v>26316.799999999999</v>
      </c>
      <c r="E55" s="37">
        <f>D55/12/($C$12+$C$13)</f>
        <v>0.32992287992506131</v>
      </c>
      <c r="F55" s="37"/>
    </row>
    <row r="56" spans="1:6" s="38" customFormat="1" ht="29.25" customHeight="1" x14ac:dyDescent="0.3">
      <c r="A56" s="36" t="s">
        <v>180</v>
      </c>
      <c r="B56" s="83" t="s">
        <v>108</v>
      </c>
      <c r="C56" s="84"/>
      <c r="D56" s="37">
        <f>22*2631.68</f>
        <v>57896.959999999999</v>
      </c>
      <c r="E56" s="37">
        <f t="shared" ref="E56:E63" si="4">D56/12/($C$12+$C$13)</f>
        <v>0.7258303358351349</v>
      </c>
      <c r="F56" s="37"/>
    </row>
    <row r="57" spans="1:6" s="41" customFormat="1" ht="39" customHeight="1" x14ac:dyDescent="0.3">
      <c r="A57" s="39" t="s">
        <v>181</v>
      </c>
      <c r="B57" s="86" t="s">
        <v>21</v>
      </c>
      <c r="C57" s="86"/>
      <c r="D57" s="40">
        <f>D58+D59+D60+D61+D62+D63</f>
        <v>98422.670999999988</v>
      </c>
      <c r="E57" s="40">
        <f t="shared" si="4"/>
        <v>1.2338844793529915</v>
      </c>
      <c r="F57" s="40"/>
    </row>
    <row r="58" spans="1:6" s="52" customFormat="1" ht="31.5" customHeight="1" x14ac:dyDescent="0.3">
      <c r="A58" s="50" t="s">
        <v>182</v>
      </c>
      <c r="B58" s="94" t="s">
        <v>106</v>
      </c>
      <c r="C58" s="95"/>
      <c r="D58" s="51">
        <f>1.5*(C12+C13)</f>
        <v>9970.8150000000005</v>
      </c>
      <c r="E58" s="51">
        <f t="shared" si="4"/>
        <v>0.125</v>
      </c>
      <c r="F58" s="51"/>
    </row>
    <row r="59" spans="1:6" s="38" customFormat="1" ht="31.5" customHeight="1" x14ac:dyDescent="0.3">
      <c r="A59" s="36" t="s">
        <v>183</v>
      </c>
      <c r="B59" s="83" t="s">
        <v>160</v>
      </c>
      <c r="C59" s="84"/>
      <c r="D59" s="37">
        <f>2.2*2541.72</f>
        <v>5591.7839999999997</v>
      </c>
      <c r="E59" s="37">
        <f t="shared" si="4"/>
        <v>7.0101892372890273E-2</v>
      </c>
      <c r="F59" s="37"/>
    </row>
    <row r="60" spans="1:6" s="38" customFormat="1" ht="31.5" customHeight="1" x14ac:dyDescent="0.3">
      <c r="A60" s="36" t="s">
        <v>184</v>
      </c>
      <c r="B60" s="83" t="s">
        <v>131</v>
      </c>
      <c r="C60" s="84"/>
      <c r="D60" s="37">
        <f>2541.72*6.3</f>
        <v>16012.835999999998</v>
      </c>
      <c r="E60" s="37">
        <f t="shared" si="4"/>
        <v>0.20074632815873122</v>
      </c>
      <c r="F60" s="37"/>
    </row>
    <row r="61" spans="1:6" s="38" customFormat="1" ht="31.5" customHeight="1" x14ac:dyDescent="0.3">
      <c r="A61" s="36" t="s">
        <v>185</v>
      </c>
      <c r="B61" s="83" t="s">
        <v>110</v>
      </c>
      <c r="C61" s="84"/>
      <c r="D61" s="37">
        <f>2541.72*7</f>
        <v>17792.039999999997</v>
      </c>
      <c r="E61" s="37">
        <f t="shared" si="4"/>
        <v>0.2230514757319236</v>
      </c>
      <c r="F61" s="37"/>
    </row>
    <row r="62" spans="1:6" s="38" customFormat="1" ht="31.5" customHeight="1" x14ac:dyDescent="0.3">
      <c r="A62" s="36" t="s">
        <v>186</v>
      </c>
      <c r="B62" s="83" t="s">
        <v>109</v>
      </c>
      <c r="C62" s="84"/>
      <c r="D62" s="37">
        <f>2541.72*11.3</f>
        <v>28721.435999999998</v>
      </c>
      <c r="E62" s="37">
        <f t="shared" si="4"/>
        <v>0.36006881082439096</v>
      </c>
      <c r="F62" s="37"/>
    </row>
    <row r="63" spans="1:6" s="38" customFormat="1" ht="31.5" customHeight="1" x14ac:dyDescent="0.3">
      <c r="A63" s="36" t="s">
        <v>187</v>
      </c>
      <c r="B63" s="83" t="s">
        <v>161</v>
      </c>
      <c r="C63" s="84"/>
      <c r="D63" s="37">
        <f>8*2541.72</f>
        <v>20333.759999999998</v>
      </c>
      <c r="E63" s="37">
        <f t="shared" si="4"/>
        <v>0.25491597226505552</v>
      </c>
      <c r="F63" s="37"/>
    </row>
    <row r="64" spans="1:6" s="41" customFormat="1" ht="39.75" customHeight="1" x14ac:dyDescent="0.3">
      <c r="A64" s="39" t="s">
        <v>188</v>
      </c>
      <c r="B64" s="98" t="s">
        <v>116</v>
      </c>
      <c r="C64" s="99"/>
      <c r="D64" s="40">
        <f>SUM(D65:D75)</f>
        <v>97773.5098</v>
      </c>
      <c r="E64" s="40">
        <f t="shared" ref="E64:E75" si="5">D64/12/($C$12+$C$13)</f>
        <v>1.2257462128221215</v>
      </c>
      <c r="F64" s="40"/>
    </row>
    <row r="65" spans="1:6" s="52" customFormat="1" ht="29.25" customHeight="1" x14ac:dyDescent="0.3">
      <c r="A65" s="50" t="s">
        <v>189</v>
      </c>
      <c r="B65" s="61" t="s">
        <v>106</v>
      </c>
      <c r="C65" s="62"/>
      <c r="D65" s="51">
        <f>7.18*(C12+C13)</f>
        <v>47726.967799999999</v>
      </c>
      <c r="E65" s="51">
        <f t="shared" si="5"/>
        <v>0.59833333333333327</v>
      </c>
      <c r="F65" s="51"/>
    </row>
    <row r="66" spans="1:6" s="38" customFormat="1" ht="29.25" customHeight="1" x14ac:dyDescent="0.3">
      <c r="A66" s="36" t="s">
        <v>190</v>
      </c>
      <c r="B66" s="83" t="s">
        <v>166</v>
      </c>
      <c r="C66" s="84"/>
      <c r="D66" s="37">
        <f>6.2*3070.34</f>
        <v>19036.108</v>
      </c>
      <c r="E66" s="37">
        <f t="shared" si="5"/>
        <v>0.23864784373193162</v>
      </c>
      <c r="F66" s="37"/>
    </row>
    <row r="67" spans="1:6" s="38" customFormat="1" ht="29.25" hidden="1" customHeight="1" x14ac:dyDescent="0.3">
      <c r="A67" s="29" t="s">
        <v>191</v>
      </c>
      <c r="B67" s="101" t="s">
        <v>143</v>
      </c>
      <c r="C67" s="102"/>
      <c r="D67" s="30"/>
      <c r="E67" s="30">
        <f t="shared" si="5"/>
        <v>0</v>
      </c>
      <c r="F67" s="30"/>
    </row>
    <row r="68" spans="1:6" s="38" customFormat="1" ht="33.75" hidden="1" customHeight="1" x14ac:dyDescent="0.3">
      <c r="A68" s="29" t="s">
        <v>192</v>
      </c>
      <c r="B68" s="101" t="s">
        <v>169</v>
      </c>
      <c r="C68" s="102"/>
      <c r="D68" s="30"/>
      <c r="E68" s="30">
        <f t="shared" si="5"/>
        <v>0</v>
      </c>
      <c r="F68" s="30"/>
    </row>
    <row r="69" spans="1:6" s="38" customFormat="1" ht="38.25" hidden="1" customHeight="1" x14ac:dyDescent="0.3">
      <c r="A69" s="29" t="s">
        <v>193</v>
      </c>
      <c r="B69" s="101" t="s">
        <v>144</v>
      </c>
      <c r="C69" s="102"/>
      <c r="D69" s="30"/>
      <c r="E69" s="30">
        <f t="shared" si="5"/>
        <v>0</v>
      </c>
      <c r="F69" s="30"/>
    </row>
    <row r="70" spans="1:6" s="38" customFormat="1" ht="33.75" hidden="1" customHeight="1" x14ac:dyDescent="0.3">
      <c r="A70" s="29" t="s">
        <v>194</v>
      </c>
      <c r="B70" s="101" t="s">
        <v>145</v>
      </c>
      <c r="C70" s="102"/>
      <c r="D70" s="30"/>
      <c r="E70" s="30">
        <f t="shared" si="5"/>
        <v>0</v>
      </c>
      <c r="F70" s="30"/>
    </row>
    <row r="71" spans="1:6" s="38" customFormat="1" ht="29.25" hidden="1" customHeight="1" x14ac:dyDescent="0.3">
      <c r="A71" s="68" t="s">
        <v>195</v>
      </c>
      <c r="B71" s="101" t="s">
        <v>146</v>
      </c>
      <c r="C71" s="102"/>
      <c r="D71" s="30"/>
      <c r="E71" s="30">
        <f t="shared" si="5"/>
        <v>0</v>
      </c>
      <c r="F71" s="30"/>
    </row>
    <row r="72" spans="1:6" s="38" customFormat="1" ht="29.25" customHeight="1" x14ac:dyDescent="0.3">
      <c r="A72" s="48" t="s">
        <v>191</v>
      </c>
      <c r="B72" s="83" t="s">
        <v>170</v>
      </c>
      <c r="C72" s="84"/>
      <c r="D72" s="37">
        <f>3.8*3070.34</f>
        <v>11667.291999999999</v>
      </c>
      <c r="E72" s="37">
        <f t="shared" si="5"/>
        <v>0.14626803325505486</v>
      </c>
      <c r="F72" s="37"/>
    </row>
    <row r="73" spans="1:6" s="38" customFormat="1" ht="29.25" customHeight="1" x14ac:dyDescent="0.3">
      <c r="A73" s="48" t="s">
        <v>192</v>
      </c>
      <c r="B73" s="83" t="s">
        <v>167</v>
      </c>
      <c r="C73" s="84"/>
      <c r="D73" s="37">
        <f>1.1*3070.34</f>
        <v>3377.3740000000003</v>
      </c>
      <c r="E73" s="37">
        <f t="shared" si="5"/>
        <v>4.2340746468568516E-2</v>
      </c>
      <c r="F73" s="37"/>
    </row>
    <row r="74" spans="1:6" s="38" customFormat="1" ht="38.25" customHeight="1" x14ac:dyDescent="0.3">
      <c r="A74" s="48" t="s">
        <v>193</v>
      </c>
      <c r="B74" s="83" t="s">
        <v>168</v>
      </c>
      <c r="C74" s="84"/>
      <c r="D74" s="37">
        <f>3.1*3070.34</f>
        <v>9518.0540000000001</v>
      </c>
      <c r="E74" s="37">
        <f t="shared" si="5"/>
        <v>0.11932392186596581</v>
      </c>
      <c r="F74" s="37"/>
    </row>
    <row r="75" spans="1:6" s="38" customFormat="1" ht="29.25" customHeight="1" x14ac:dyDescent="0.3">
      <c r="A75" s="48" t="s">
        <v>194</v>
      </c>
      <c r="B75" s="83" t="s">
        <v>147</v>
      </c>
      <c r="C75" s="84"/>
      <c r="D75" s="37">
        <f>2.1*3070.34</f>
        <v>6447.7140000000009</v>
      </c>
      <c r="E75" s="37">
        <f t="shared" si="5"/>
        <v>8.0832334167267178E-2</v>
      </c>
      <c r="F75" s="37"/>
    </row>
    <row r="76" spans="1:6" s="41" customFormat="1" ht="36" customHeight="1" x14ac:dyDescent="0.3">
      <c r="A76" s="39" t="s">
        <v>196</v>
      </c>
      <c r="B76" s="103" t="s">
        <v>64</v>
      </c>
      <c r="C76" s="103"/>
      <c r="D76" s="40">
        <f>D77+22.18*(C12+C13)</f>
        <v>233317.071</v>
      </c>
      <c r="E76" s="40">
        <f>D76/12/(C12+C13)</f>
        <v>2.9250000000000003</v>
      </c>
      <c r="F76" s="40"/>
    </row>
    <row r="77" spans="1:6" s="41" customFormat="1" ht="36.75" customHeight="1" x14ac:dyDescent="0.3">
      <c r="A77" s="36" t="s">
        <v>197</v>
      </c>
      <c r="B77" s="83" t="s">
        <v>115</v>
      </c>
      <c r="C77" s="84"/>
      <c r="D77" s="40">
        <f>12.92*(C12+C13)</f>
        <v>85881.953200000004</v>
      </c>
      <c r="E77" s="40">
        <f>D77/12/(C12+C13)</f>
        <v>1.0766666666666667</v>
      </c>
      <c r="F77" s="40"/>
    </row>
    <row r="78" spans="1:6" s="38" customFormat="1" ht="42.75" customHeight="1" x14ac:dyDescent="0.3">
      <c r="A78" s="36" t="s">
        <v>36</v>
      </c>
      <c r="B78" s="85" t="s">
        <v>171</v>
      </c>
      <c r="C78" s="85"/>
      <c r="D78" s="37">
        <f>D28-D29</f>
        <v>-178049.75686799921</v>
      </c>
      <c r="E78" s="45"/>
      <c r="F78" s="45"/>
    </row>
    <row r="79" spans="1:6" s="31" customFormat="1" ht="20.25" x14ac:dyDescent="0.3">
      <c r="A79" s="32"/>
      <c r="B79" s="33"/>
      <c r="C79" s="33"/>
      <c r="D79" s="34"/>
      <c r="E79" s="34"/>
      <c r="F79" s="34"/>
    </row>
    <row r="80" spans="1:6" s="38" customFormat="1" ht="20.25" x14ac:dyDescent="0.3">
      <c r="A80" s="91" t="s">
        <v>84</v>
      </c>
      <c r="B80" s="91"/>
      <c r="C80" s="91"/>
      <c r="D80" s="91"/>
      <c r="E80" s="91"/>
      <c r="F80" s="91"/>
    </row>
    <row r="81" spans="1:6" s="38" customFormat="1" ht="20.25" x14ac:dyDescent="0.3">
      <c r="A81" s="63"/>
      <c r="B81" s="63"/>
      <c r="C81" s="63"/>
      <c r="D81" s="63"/>
      <c r="E81" s="63"/>
      <c r="F81" s="63"/>
    </row>
    <row r="82" spans="1:6" s="41" customFormat="1" ht="40.5" customHeight="1" x14ac:dyDescent="0.3">
      <c r="A82" s="39" t="s">
        <v>37</v>
      </c>
      <c r="B82" s="86" t="s">
        <v>158</v>
      </c>
      <c r="C82" s="86"/>
      <c r="D82" s="40">
        <v>22216.880000000001</v>
      </c>
      <c r="E82" s="43"/>
      <c r="F82" s="44"/>
    </row>
    <row r="83" spans="1:6" s="41" customFormat="1" ht="39" customHeight="1" x14ac:dyDescent="0.3">
      <c r="A83" s="39" t="s">
        <v>66</v>
      </c>
      <c r="B83" s="98" t="s">
        <v>65</v>
      </c>
      <c r="C83" s="99"/>
      <c r="D83" s="40">
        <f>SUM(D84:D87)</f>
        <v>23310</v>
      </c>
      <c r="E83" s="43"/>
      <c r="F83" s="43"/>
    </row>
    <row r="84" spans="1:6" s="38" customFormat="1" ht="24.75" customHeight="1" x14ac:dyDescent="0.3">
      <c r="A84" s="36" t="s">
        <v>67</v>
      </c>
      <c r="B84" s="83" t="s">
        <v>68</v>
      </c>
      <c r="C84" s="84"/>
      <c r="D84" s="37">
        <v>5550</v>
      </c>
      <c r="E84" s="45"/>
      <c r="F84" s="45"/>
    </row>
    <row r="85" spans="1:6" s="38" customFormat="1" ht="24.75" customHeight="1" x14ac:dyDescent="0.3">
      <c r="A85" s="36" t="s">
        <v>69</v>
      </c>
      <c r="B85" s="104" t="s">
        <v>133</v>
      </c>
      <c r="C85" s="105"/>
      <c r="D85" s="37">
        <v>4440</v>
      </c>
      <c r="E85" s="45"/>
      <c r="F85" s="45"/>
    </row>
    <row r="86" spans="1:6" s="38" customFormat="1" ht="24.75" hidden="1" customHeight="1" x14ac:dyDescent="0.3">
      <c r="A86" s="36"/>
      <c r="B86" s="83"/>
      <c r="C86" s="84"/>
      <c r="D86" s="37"/>
      <c r="E86" s="45"/>
      <c r="F86" s="45"/>
    </row>
    <row r="87" spans="1:6" s="38" customFormat="1" ht="24.75" customHeight="1" x14ac:dyDescent="0.3">
      <c r="A87" s="36" t="s">
        <v>73</v>
      </c>
      <c r="B87" s="83" t="s">
        <v>72</v>
      </c>
      <c r="C87" s="84"/>
      <c r="D87" s="37">
        <v>13320</v>
      </c>
      <c r="E87" s="45"/>
      <c r="F87" s="45"/>
    </row>
    <row r="88" spans="1:6" s="41" customFormat="1" ht="24.75" customHeight="1" x14ac:dyDescent="0.3">
      <c r="A88" s="39" t="s">
        <v>134</v>
      </c>
      <c r="B88" s="98" t="s">
        <v>75</v>
      </c>
      <c r="C88" s="99"/>
      <c r="D88" s="40">
        <v>0</v>
      </c>
      <c r="E88" s="43"/>
      <c r="F88" s="43"/>
    </row>
    <row r="89" spans="1:6" s="41" customFormat="1" ht="24.75" customHeight="1" x14ac:dyDescent="0.3">
      <c r="A89" s="39" t="s">
        <v>198</v>
      </c>
      <c r="B89" s="98" t="s">
        <v>159</v>
      </c>
      <c r="C89" s="99"/>
      <c r="D89" s="40">
        <f>D83-D88+D82</f>
        <v>45526.880000000005</v>
      </c>
      <c r="E89" s="43"/>
      <c r="F89" s="43"/>
    </row>
    <row r="90" spans="1:6" s="38" customFormat="1" x14ac:dyDescent="0.25">
      <c r="A90" s="67"/>
      <c r="B90" s="56"/>
      <c r="C90" s="56"/>
    </row>
    <row r="91" spans="1:6" s="38" customFormat="1" x14ac:dyDescent="0.25">
      <c r="A91" s="67"/>
      <c r="B91" s="56"/>
      <c r="C91" s="56"/>
    </row>
    <row r="92" spans="1:6" s="38" customFormat="1" x14ac:dyDescent="0.25">
      <c r="A92" s="67"/>
      <c r="B92" s="56"/>
      <c r="C92" s="56"/>
    </row>
    <row r="93" spans="1:6" s="38" customFormat="1" x14ac:dyDescent="0.25">
      <c r="B93" s="56" t="s">
        <v>129</v>
      </c>
      <c r="C93" s="56"/>
    </row>
    <row r="94" spans="1:6" s="38" customFormat="1" x14ac:dyDescent="0.25">
      <c r="B94" s="56"/>
      <c r="C94" s="56"/>
    </row>
    <row r="95" spans="1:6" s="38" customFormat="1" x14ac:dyDescent="0.25">
      <c r="B95" s="56"/>
      <c r="C95" s="56"/>
    </row>
    <row r="96" spans="1:6" s="31" customFormat="1" x14ac:dyDescent="0.25">
      <c r="B96" s="35"/>
      <c r="C96" s="35"/>
    </row>
    <row r="97" spans="2:3" s="31" customFormat="1" x14ac:dyDescent="0.25">
      <c r="B97" s="35"/>
      <c r="C97" s="35"/>
    </row>
    <row r="98" spans="2:3" s="31" customFormat="1" x14ac:dyDescent="0.25">
      <c r="B98" s="35"/>
      <c r="C98" s="35"/>
    </row>
  </sheetData>
  <mergeCells count="76">
    <mergeCell ref="B66:C66"/>
    <mergeCell ref="B73:C73"/>
    <mergeCell ref="B74:C74"/>
    <mergeCell ref="B76:C76"/>
    <mergeCell ref="B89:C89"/>
    <mergeCell ref="B82:C82"/>
    <mergeCell ref="B67:C67"/>
    <mergeCell ref="B68:C68"/>
    <mergeCell ref="B69:C69"/>
    <mergeCell ref="B88:C88"/>
    <mergeCell ref="B77:C77"/>
    <mergeCell ref="B71:C71"/>
    <mergeCell ref="A80:F80"/>
    <mergeCell ref="B83:C83"/>
    <mergeCell ref="B84:C84"/>
    <mergeCell ref="B85:C85"/>
    <mergeCell ref="B86:C86"/>
    <mergeCell ref="B87:C87"/>
    <mergeCell ref="B78:C78"/>
    <mergeCell ref="B70:C70"/>
    <mergeCell ref="B72:C72"/>
    <mergeCell ref="B75:C75"/>
    <mergeCell ref="B57:C57"/>
    <mergeCell ref="B56:C56"/>
    <mergeCell ref="B41:C41"/>
    <mergeCell ref="B42:C42"/>
    <mergeCell ref="B64:C64"/>
    <mergeCell ref="B52:C52"/>
    <mergeCell ref="B53:C53"/>
    <mergeCell ref="B54:C54"/>
    <mergeCell ref="B43:C43"/>
    <mergeCell ref="B44:C44"/>
    <mergeCell ref="B45:C45"/>
    <mergeCell ref="B46:C46"/>
    <mergeCell ref="B47:C47"/>
    <mergeCell ref="B55:C55"/>
    <mergeCell ref="B62:C62"/>
    <mergeCell ref="B51:C51"/>
    <mergeCell ref="B33:C33"/>
    <mergeCell ref="B34:C34"/>
    <mergeCell ref="B35:C35"/>
    <mergeCell ref="B48:C48"/>
    <mergeCell ref="B49:C49"/>
    <mergeCell ref="B36:C36"/>
    <mergeCell ref="B37:C37"/>
    <mergeCell ref="B38:C38"/>
    <mergeCell ref="B39:C39"/>
    <mergeCell ref="B21:C21"/>
    <mergeCell ref="A2:B2"/>
    <mergeCell ref="A3:B3"/>
    <mergeCell ref="A4:B4"/>
    <mergeCell ref="B7:C7"/>
    <mergeCell ref="B14:C14"/>
    <mergeCell ref="B8:C8"/>
    <mergeCell ref="A5:E5"/>
    <mergeCell ref="B15:C15"/>
    <mergeCell ref="B16:C16"/>
    <mergeCell ref="B17:C17"/>
    <mergeCell ref="B18:C18"/>
    <mergeCell ref="B20:C20"/>
    <mergeCell ref="B63:C6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9:C59"/>
    <mergeCell ref="B60:C60"/>
    <mergeCell ref="B61:C61"/>
    <mergeCell ref="B58:C58"/>
    <mergeCell ref="B31:C31"/>
    <mergeCell ref="B32:C32"/>
  </mergeCells>
  <pageMargins left="0.31496062992125984" right="0.31496062992125984" top="0.35433070866141736" bottom="0.15748031496062992" header="0.31496062992125984" footer="0.31496062992125984"/>
  <pageSetup paperSize="9"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3"/>
  <sheetViews>
    <sheetView topLeftCell="A19" workbookViewId="0">
      <selection activeCell="E40" sqref="E40"/>
    </sheetView>
  </sheetViews>
  <sheetFormatPr defaultRowHeight="15" x14ac:dyDescent="0.25"/>
  <cols>
    <col min="2" max="2" width="21.85546875" customWidth="1"/>
    <col min="3" max="3" width="14.85546875" customWidth="1"/>
    <col min="4" max="5" width="14.7109375" customWidth="1"/>
    <col min="6" max="6" width="16.85546875" customWidth="1"/>
    <col min="7" max="7" width="12.5703125" customWidth="1"/>
  </cols>
  <sheetData>
    <row r="2" spans="2:7" ht="27" customHeight="1" x14ac:dyDescent="0.25">
      <c r="B2" s="21"/>
      <c r="C2" s="21"/>
      <c r="D2" s="106" t="s">
        <v>97</v>
      </c>
      <c r="E2" s="106"/>
      <c r="F2" s="106"/>
      <c r="G2" s="21"/>
    </row>
    <row r="3" spans="2:7" s="19" customFormat="1" ht="43.5" customHeight="1" x14ac:dyDescent="0.25">
      <c r="B3" s="22"/>
      <c r="C3" s="22" t="s">
        <v>99</v>
      </c>
      <c r="D3" s="22" t="s">
        <v>98</v>
      </c>
      <c r="E3" s="22" t="s">
        <v>111</v>
      </c>
      <c r="F3" s="22" t="s">
        <v>102</v>
      </c>
      <c r="G3" s="22" t="s">
        <v>100</v>
      </c>
    </row>
    <row r="4" spans="2:7" s="19" customFormat="1" ht="17.25" customHeight="1" x14ac:dyDescent="0.25">
      <c r="B4" s="22" t="s">
        <v>135</v>
      </c>
      <c r="C4" s="22">
        <v>25.082000000000001</v>
      </c>
      <c r="D4" s="22">
        <f>C4</f>
        <v>25.082000000000001</v>
      </c>
      <c r="E4" s="22">
        <v>140.83709999999999</v>
      </c>
      <c r="F4" s="22">
        <f>D4-E4</f>
        <v>-115.7551</v>
      </c>
      <c r="G4" s="46">
        <f>F4*50.76</f>
        <v>-5875.7288760000001</v>
      </c>
    </row>
    <row r="5" spans="2:7" s="19" customFormat="1" ht="17.25" customHeight="1" x14ac:dyDescent="0.25">
      <c r="B5" s="22" t="s">
        <v>136</v>
      </c>
      <c r="C5" s="22">
        <v>25.082000000000001</v>
      </c>
      <c r="D5" s="22">
        <f t="shared" ref="D5:D15" si="0">C5</f>
        <v>25.082000000000001</v>
      </c>
      <c r="E5" s="22">
        <v>183.37710000000001</v>
      </c>
      <c r="F5" s="22">
        <f t="shared" ref="F5:F15" si="1">D5-E5</f>
        <v>-158.29510000000002</v>
      </c>
      <c r="G5" s="46">
        <f t="shared" ref="G5:G9" si="2">F5*50.76</f>
        <v>-8035.0592760000009</v>
      </c>
    </row>
    <row r="6" spans="2:7" s="19" customFormat="1" ht="17.25" customHeight="1" x14ac:dyDescent="0.25">
      <c r="B6" s="22" t="s">
        <v>137</v>
      </c>
      <c r="C6" s="22">
        <v>25.082000000000001</v>
      </c>
      <c r="D6" s="22">
        <f t="shared" si="0"/>
        <v>25.082000000000001</v>
      </c>
      <c r="E6" s="22">
        <v>9.3278999999999996</v>
      </c>
      <c r="F6" s="22">
        <f t="shared" si="1"/>
        <v>15.754100000000001</v>
      </c>
      <c r="G6" s="46">
        <f t="shared" si="2"/>
        <v>799.67811600000005</v>
      </c>
    </row>
    <row r="7" spans="2:7" s="19" customFormat="1" ht="17.25" customHeight="1" x14ac:dyDescent="0.25">
      <c r="B7" s="22" t="s">
        <v>138</v>
      </c>
      <c r="C7" s="22">
        <v>25.082000000000001</v>
      </c>
      <c r="D7" s="22">
        <f t="shared" si="0"/>
        <v>25.082000000000001</v>
      </c>
      <c r="E7" s="22"/>
      <c r="F7" s="22">
        <f t="shared" si="1"/>
        <v>25.082000000000001</v>
      </c>
      <c r="G7" s="46">
        <f t="shared" si="2"/>
        <v>1273.1623199999999</v>
      </c>
    </row>
    <row r="8" spans="2:7" s="19" customFormat="1" ht="17.25" customHeight="1" x14ac:dyDescent="0.25">
      <c r="B8" s="22" t="s">
        <v>139</v>
      </c>
      <c r="C8" s="22">
        <v>25.082000000000001</v>
      </c>
      <c r="D8" s="22">
        <f t="shared" si="0"/>
        <v>25.082000000000001</v>
      </c>
      <c r="E8" s="22"/>
      <c r="F8" s="22">
        <f t="shared" si="1"/>
        <v>25.082000000000001</v>
      </c>
      <c r="G8" s="46">
        <f t="shared" si="2"/>
        <v>1273.1623199999999</v>
      </c>
    </row>
    <row r="9" spans="2:7" s="19" customFormat="1" ht="17.25" customHeight="1" x14ac:dyDescent="0.25">
      <c r="B9" s="22" t="s">
        <v>140</v>
      </c>
      <c r="C9" s="22">
        <v>25.082000000000001</v>
      </c>
      <c r="D9" s="22">
        <f t="shared" si="0"/>
        <v>25.082000000000001</v>
      </c>
      <c r="E9" s="22"/>
      <c r="F9" s="22">
        <f t="shared" si="1"/>
        <v>25.082000000000001</v>
      </c>
      <c r="G9" s="46">
        <f t="shared" si="2"/>
        <v>1273.1623199999999</v>
      </c>
    </row>
    <row r="10" spans="2:7" ht="22.5" customHeight="1" x14ac:dyDescent="0.25">
      <c r="B10" s="21" t="s">
        <v>90</v>
      </c>
      <c r="C10" s="22">
        <v>25.082000000000001</v>
      </c>
      <c r="D10" s="22">
        <f t="shared" si="0"/>
        <v>25.082000000000001</v>
      </c>
      <c r="E10" s="21"/>
      <c r="F10" s="22">
        <f t="shared" si="1"/>
        <v>25.082000000000001</v>
      </c>
      <c r="G10" s="47">
        <f>F10*52.79</f>
        <v>1324.0787800000001</v>
      </c>
    </row>
    <row r="11" spans="2:7" ht="22.5" customHeight="1" x14ac:dyDescent="0.25">
      <c r="B11" s="21" t="s">
        <v>91</v>
      </c>
      <c r="C11" s="22">
        <v>25.082000000000001</v>
      </c>
      <c r="D11" s="22">
        <f t="shared" si="0"/>
        <v>25.082000000000001</v>
      </c>
      <c r="E11" s="21"/>
      <c r="F11" s="22">
        <f t="shared" si="1"/>
        <v>25.082000000000001</v>
      </c>
      <c r="G11" s="47">
        <f t="shared" ref="G11:G15" si="3">F11*52.79</f>
        <v>1324.0787800000001</v>
      </c>
    </row>
    <row r="12" spans="2:7" ht="22.5" customHeight="1" x14ac:dyDescent="0.25">
      <c r="B12" s="21" t="s">
        <v>92</v>
      </c>
      <c r="C12" s="22">
        <v>25.082000000000001</v>
      </c>
      <c r="D12" s="22">
        <f t="shared" si="0"/>
        <v>25.082000000000001</v>
      </c>
      <c r="E12" s="21"/>
      <c r="F12" s="22">
        <f t="shared" si="1"/>
        <v>25.082000000000001</v>
      </c>
      <c r="G12" s="47">
        <f t="shared" si="3"/>
        <v>1324.0787800000001</v>
      </c>
    </row>
    <row r="13" spans="2:7" ht="22.5" customHeight="1" x14ac:dyDescent="0.25">
      <c r="B13" s="21" t="s">
        <v>93</v>
      </c>
      <c r="C13" s="22">
        <v>25.082000000000001</v>
      </c>
      <c r="D13" s="22">
        <f t="shared" si="0"/>
        <v>25.082000000000001</v>
      </c>
      <c r="E13" s="21"/>
      <c r="F13" s="22">
        <f t="shared" si="1"/>
        <v>25.082000000000001</v>
      </c>
      <c r="G13" s="47">
        <f t="shared" si="3"/>
        <v>1324.0787800000001</v>
      </c>
    </row>
    <row r="14" spans="2:7" ht="23.25" customHeight="1" x14ac:dyDescent="0.25">
      <c r="B14" s="22" t="s">
        <v>104</v>
      </c>
      <c r="C14" s="22">
        <v>25.082000000000001</v>
      </c>
      <c r="D14" s="22">
        <f t="shared" si="0"/>
        <v>25.082000000000001</v>
      </c>
      <c r="E14" s="21"/>
      <c r="F14" s="22">
        <f t="shared" si="1"/>
        <v>25.082000000000001</v>
      </c>
      <c r="G14" s="47">
        <f t="shared" si="3"/>
        <v>1324.0787800000001</v>
      </c>
    </row>
    <row r="15" spans="2:7" ht="22.5" customHeight="1" x14ac:dyDescent="0.25">
      <c r="B15" s="21" t="s">
        <v>95</v>
      </c>
      <c r="C15" s="22">
        <v>25.082000000000001</v>
      </c>
      <c r="D15" s="22">
        <f t="shared" si="0"/>
        <v>25.082000000000001</v>
      </c>
      <c r="E15" s="21">
        <v>51.698500000000003</v>
      </c>
      <c r="F15" s="22">
        <f t="shared" si="1"/>
        <v>-26.616500000000002</v>
      </c>
      <c r="G15" s="47">
        <f t="shared" si="3"/>
        <v>-1405.0850350000001</v>
      </c>
    </row>
    <row r="16" spans="2:7" s="20" customFormat="1" ht="22.5" customHeight="1" x14ac:dyDescent="0.25">
      <c r="B16" s="23" t="s">
        <v>96</v>
      </c>
      <c r="C16" s="23"/>
      <c r="D16" s="23">
        <f>SUM(D4:D15)</f>
        <v>300.98399999999998</v>
      </c>
      <c r="E16" s="23">
        <f t="shared" ref="E16:G16" si="4">SUM(E4:E15)</f>
        <v>385.24060000000003</v>
      </c>
      <c r="F16" s="23">
        <f t="shared" si="4"/>
        <v>-84.256600000000077</v>
      </c>
      <c r="G16" s="24">
        <f t="shared" si="4"/>
        <v>-4076.3142110000044</v>
      </c>
    </row>
    <row r="19" spans="2:7" x14ac:dyDescent="0.25">
      <c r="B19" s="21"/>
      <c r="C19" s="21"/>
      <c r="D19" s="106" t="s">
        <v>101</v>
      </c>
      <c r="E19" s="106"/>
      <c r="F19" s="106"/>
      <c r="G19" s="21"/>
    </row>
    <row r="20" spans="2:7" ht="30" x14ac:dyDescent="0.25">
      <c r="B20" s="22"/>
      <c r="C20" s="22" t="s">
        <v>99</v>
      </c>
      <c r="D20" s="22" t="s">
        <v>98</v>
      </c>
      <c r="E20" s="22" t="s">
        <v>111</v>
      </c>
      <c r="F20" s="22" t="s">
        <v>102</v>
      </c>
      <c r="G20" s="22" t="s">
        <v>100</v>
      </c>
    </row>
    <row r="21" spans="2:7" x14ac:dyDescent="0.25">
      <c r="B21" s="22" t="s">
        <v>135</v>
      </c>
      <c r="C21" s="22">
        <v>25.082000000000001</v>
      </c>
      <c r="D21" s="22">
        <f>C21</f>
        <v>25.082000000000001</v>
      </c>
      <c r="E21" s="22"/>
      <c r="F21" s="22">
        <f>D21-E21</f>
        <v>25.082000000000001</v>
      </c>
      <c r="G21" s="46">
        <f>F21*167.56</f>
        <v>4202.73992</v>
      </c>
    </row>
    <row r="22" spans="2:7" x14ac:dyDescent="0.25">
      <c r="B22" s="22" t="s">
        <v>136</v>
      </c>
      <c r="C22" s="22">
        <v>25.082000000000001</v>
      </c>
      <c r="D22" s="22">
        <f t="shared" ref="D22:D32" si="5">C22</f>
        <v>25.082000000000001</v>
      </c>
      <c r="E22" s="22"/>
      <c r="F22" s="22">
        <f t="shared" ref="F22:F32" si="6">D22-E22</f>
        <v>25.082000000000001</v>
      </c>
      <c r="G22" s="46">
        <f t="shared" ref="G22:G26" si="7">F22*167.56</f>
        <v>4202.73992</v>
      </c>
    </row>
    <row r="23" spans="2:7" x14ac:dyDescent="0.25">
      <c r="B23" s="22" t="s">
        <v>137</v>
      </c>
      <c r="C23" s="22">
        <v>25.082000000000001</v>
      </c>
      <c r="D23" s="22">
        <f t="shared" si="5"/>
        <v>25.082000000000001</v>
      </c>
      <c r="E23" s="22"/>
      <c r="F23" s="22">
        <f t="shared" si="6"/>
        <v>25.082000000000001</v>
      </c>
      <c r="G23" s="46">
        <f t="shared" si="7"/>
        <v>4202.73992</v>
      </c>
    </row>
    <row r="24" spans="2:7" x14ac:dyDescent="0.25">
      <c r="B24" s="22" t="s">
        <v>138</v>
      </c>
      <c r="C24" s="22">
        <v>25.082000000000001</v>
      </c>
      <c r="D24" s="22">
        <f t="shared" si="5"/>
        <v>25.082000000000001</v>
      </c>
      <c r="E24" s="22"/>
      <c r="F24" s="22">
        <f t="shared" si="6"/>
        <v>25.082000000000001</v>
      </c>
      <c r="G24" s="46">
        <f t="shared" si="7"/>
        <v>4202.73992</v>
      </c>
    </row>
    <row r="25" spans="2:7" x14ac:dyDescent="0.25">
      <c r="B25" s="22" t="s">
        <v>139</v>
      </c>
      <c r="C25" s="22">
        <v>25.082000000000001</v>
      </c>
      <c r="D25" s="22">
        <f t="shared" si="5"/>
        <v>25.082000000000001</v>
      </c>
      <c r="E25" s="22"/>
      <c r="F25" s="22">
        <f t="shared" si="6"/>
        <v>25.082000000000001</v>
      </c>
      <c r="G25" s="46">
        <f t="shared" si="7"/>
        <v>4202.73992</v>
      </c>
    </row>
    <row r="26" spans="2:7" x14ac:dyDescent="0.25">
      <c r="B26" s="22" t="s">
        <v>140</v>
      </c>
      <c r="C26" s="22">
        <v>25.082000000000001</v>
      </c>
      <c r="D26" s="22">
        <f t="shared" si="5"/>
        <v>25.082000000000001</v>
      </c>
      <c r="E26" s="22"/>
      <c r="F26" s="22">
        <f t="shared" si="6"/>
        <v>25.082000000000001</v>
      </c>
      <c r="G26" s="46">
        <f t="shared" si="7"/>
        <v>4202.73992</v>
      </c>
    </row>
    <row r="27" spans="2:7" x14ac:dyDescent="0.25">
      <c r="B27" s="21" t="s">
        <v>90</v>
      </c>
      <c r="C27" s="22">
        <v>25.082000000000001</v>
      </c>
      <c r="D27" s="22">
        <f t="shared" si="5"/>
        <v>25.082000000000001</v>
      </c>
      <c r="E27" s="21"/>
      <c r="F27" s="22">
        <f t="shared" si="6"/>
        <v>25.082000000000001</v>
      </c>
      <c r="G27" s="47">
        <f>F27*177.41</f>
        <v>4449.7976200000003</v>
      </c>
    </row>
    <row r="28" spans="2:7" x14ac:dyDescent="0.25">
      <c r="B28" s="21" t="s">
        <v>91</v>
      </c>
      <c r="C28" s="22">
        <v>25.082000000000001</v>
      </c>
      <c r="D28" s="22">
        <f t="shared" si="5"/>
        <v>25.082000000000001</v>
      </c>
      <c r="E28" s="21"/>
      <c r="F28" s="22">
        <f t="shared" si="6"/>
        <v>25.082000000000001</v>
      </c>
      <c r="G28" s="47">
        <f t="shared" ref="G28:G32" si="8">F28*177.41</f>
        <v>4449.7976200000003</v>
      </c>
    </row>
    <row r="29" spans="2:7" x14ac:dyDescent="0.25">
      <c r="B29" s="21" t="s">
        <v>92</v>
      </c>
      <c r="C29" s="22">
        <v>25.082000000000001</v>
      </c>
      <c r="D29" s="22">
        <f t="shared" si="5"/>
        <v>25.082000000000001</v>
      </c>
      <c r="E29" s="21"/>
      <c r="F29" s="22">
        <f t="shared" si="6"/>
        <v>25.082000000000001</v>
      </c>
      <c r="G29" s="47">
        <f t="shared" si="8"/>
        <v>4449.7976200000003</v>
      </c>
    </row>
    <row r="30" spans="2:7" x14ac:dyDescent="0.25">
      <c r="B30" s="21" t="s">
        <v>93</v>
      </c>
      <c r="C30" s="22">
        <v>25.082000000000001</v>
      </c>
      <c r="D30" s="22">
        <f t="shared" si="5"/>
        <v>25.082000000000001</v>
      </c>
      <c r="E30" s="21"/>
      <c r="F30" s="22">
        <f t="shared" si="6"/>
        <v>25.082000000000001</v>
      </c>
      <c r="G30" s="47">
        <f t="shared" si="8"/>
        <v>4449.7976200000003</v>
      </c>
    </row>
    <row r="31" spans="2:7" x14ac:dyDescent="0.25">
      <c r="B31" s="22" t="s">
        <v>104</v>
      </c>
      <c r="C31" s="22">
        <v>25.082000000000001</v>
      </c>
      <c r="D31" s="22">
        <f t="shared" si="5"/>
        <v>25.082000000000001</v>
      </c>
      <c r="E31" s="21"/>
      <c r="F31" s="22">
        <f t="shared" si="6"/>
        <v>25.082000000000001</v>
      </c>
      <c r="G31" s="47">
        <f t="shared" si="8"/>
        <v>4449.7976200000003</v>
      </c>
    </row>
    <row r="32" spans="2:7" x14ac:dyDescent="0.25">
      <c r="B32" s="21" t="s">
        <v>95</v>
      </c>
      <c r="C32" s="22">
        <v>25.082000000000001</v>
      </c>
      <c r="D32" s="22">
        <f t="shared" si="5"/>
        <v>25.082000000000001</v>
      </c>
      <c r="E32" s="21"/>
      <c r="F32" s="22">
        <f t="shared" si="6"/>
        <v>25.082000000000001</v>
      </c>
      <c r="G32" s="47">
        <f t="shared" si="8"/>
        <v>4449.7976200000003</v>
      </c>
    </row>
    <row r="33" spans="2:7" x14ac:dyDescent="0.25">
      <c r="B33" s="23" t="s">
        <v>96</v>
      </c>
      <c r="C33" s="23"/>
      <c r="D33" s="23">
        <f>SUM(D21:D32)</f>
        <v>300.98399999999998</v>
      </c>
      <c r="E33" s="23">
        <f t="shared" ref="E33:G33" si="9">SUM(E21:E32)</f>
        <v>0</v>
      </c>
      <c r="F33" s="23">
        <f t="shared" si="9"/>
        <v>300.98399999999998</v>
      </c>
      <c r="G33" s="24">
        <f t="shared" si="9"/>
        <v>51915.225239999992</v>
      </c>
    </row>
    <row r="36" spans="2:7" x14ac:dyDescent="0.25">
      <c r="B36" s="21"/>
      <c r="C36" s="21"/>
      <c r="D36" s="106" t="s">
        <v>103</v>
      </c>
      <c r="E36" s="106"/>
      <c r="F36" s="106"/>
      <c r="G36" s="21"/>
    </row>
    <row r="37" spans="2:7" ht="30" x14ac:dyDescent="0.25">
      <c r="B37" s="22"/>
      <c r="C37" s="22" t="s">
        <v>99</v>
      </c>
      <c r="D37" s="22" t="s">
        <v>98</v>
      </c>
      <c r="E37" s="22" t="s">
        <v>111</v>
      </c>
      <c r="F37" s="22" t="s">
        <v>102</v>
      </c>
      <c r="G37" s="22" t="s">
        <v>100</v>
      </c>
    </row>
    <row r="38" spans="2:7" x14ac:dyDescent="0.25">
      <c r="B38" s="22" t="s">
        <v>135</v>
      </c>
      <c r="C38" s="22">
        <f>C21+C4</f>
        <v>50.164000000000001</v>
      </c>
      <c r="D38" s="22">
        <f>C38</f>
        <v>50.164000000000001</v>
      </c>
      <c r="E38" s="22">
        <v>102.81</v>
      </c>
      <c r="F38" s="22">
        <f>D38-E38</f>
        <v>-52.646000000000001</v>
      </c>
      <c r="G38" s="46">
        <f>F38*73.81</f>
        <v>-3885.8012600000002</v>
      </c>
    </row>
    <row r="39" spans="2:7" x14ac:dyDescent="0.25">
      <c r="B39" s="22" t="s">
        <v>136</v>
      </c>
      <c r="C39" s="22">
        <f t="shared" ref="C39:C49" si="10">C22+C5</f>
        <v>50.164000000000001</v>
      </c>
      <c r="D39" s="22">
        <f t="shared" ref="D39:D49" si="11">C39</f>
        <v>50.164000000000001</v>
      </c>
      <c r="E39" s="22">
        <v>194.77</v>
      </c>
      <c r="F39" s="22">
        <f t="shared" ref="F39:F49" si="12">D39-E39</f>
        <v>-144.60599999999999</v>
      </c>
      <c r="G39" s="46">
        <f t="shared" ref="G39:G43" si="13">F39*73.81</f>
        <v>-10673.36886</v>
      </c>
    </row>
    <row r="40" spans="2:7" x14ac:dyDescent="0.25">
      <c r="B40" s="22" t="s">
        <v>137</v>
      </c>
      <c r="C40" s="22">
        <f t="shared" si="10"/>
        <v>50.164000000000001</v>
      </c>
      <c r="D40" s="22">
        <f t="shared" si="11"/>
        <v>50.164000000000001</v>
      </c>
      <c r="E40" s="22"/>
      <c r="F40" s="22">
        <f t="shared" si="12"/>
        <v>50.164000000000001</v>
      </c>
      <c r="G40" s="46">
        <f t="shared" si="13"/>
        <v>3702.6048400000004</v>
      </c>
    </row>
    <row r="41" spans="2:7" x14ac:dyDescent="0.25">
      <c r="B41" s="22" t="s">
        <v>138</v>
      </c>
      <c r="C41" s="22">
        <f t="shared" si="10"/>
        <v>50.164000000000001</v>
      </c>
      <c r="D41" s="22">
        <f t="shared" si="11"/>
        <v>50.164000000000001</v>
      </c>
      <c r="E41" s="22"/>
      <c r="F41" s="22">
        <f t="shared" si="12"/>
        <v>50.164000000000001</v>
      </c>
      <c r="G41" s="46">
        <f t="shared" si="13"/>
        <v>3702.6048400000004</v>
      </c>
    </row>
    <row r="42" spans="2:7" x14ac:dyDescent="0.25">
      <c r="B42" s="22" t="s">
        <v>139</v>
      </c>
      <c r="C42" s="22">
        <f t="shared" si="10"/>
        <v>50.164000000000001</v>
      </c>
      <c r="D42" s="22">
        <f t="shared" si="11"/>
        <v>50.164000000000001</v>
      </c>
      <c r="E42" s="22"/>
      <c r="F42" s="22">
        <f t="shared" si="12"/>
        <v>50.164000000000001</v>
      </c>
      <c r="G42" s="46">
        <f t="shared" si="13"/>
        <v>3702.6048400000004</v>
      </c>
    </row>
    <row r="43" spans="2:7" x14ac:dyDescent="0.25">
      <c r="B43" s="22" t="s">
        <v>140</v>
      </c>
      <c r="C43" s="22">
        <f t="shared" si="10"/>
        <v>50.164000000000001</v>
      </c>
      <c r="D43" s="22">
        <f t="shared" si="11"/>
        <v>50.164000000000001</v>
      </c>
      <c r="E43" s="22"/>
      <c r="F43" s="22">
        <f t="shared" si="12"/>
        <v>50.164000000000001</v>
      </c>
      <c r="G43" s="46">
        <f t="shared" si="13"/>
        <v>3702.6048400000004</v>
      </c>
    </row>
    <row r="44" spans="2:7" x14ac:dyDescent="0.25">
      <c r="B44" s="21" t="s">
        <v>90</v>
      </c>
      <c r="C44" s="22">
        <f t="shared" si="10"/>
        <v>50.164000000000001</v>
      </c>
      <c r="D44" s="22">
        <f t="shared" si="11"/>
        <v>50.164000000000001</v>
      </c>
      <c r="E44" s="21"/>
      <c r="F44" s="22">
        <f t="shared" si="12"/>
        <v>50.164000000000001</v>
      </c>
      <c r="G44" s="47">
        <f>F44*76.76</f>
        <v>3850.5886400000004</v>
      </c>
    </row>
    <row r="45" spans="2:7" x14ac:dyDescent="0.25">
      <c r="B45" s="21" t="s">
        <v>91</v>
      </c>
      <c r="C45" s="22">
        <f t="shared" si="10"/>
        <v>50.164000000000001</v>
      </c>
      <c r="D45" s="22">
        <f t="shared" si="11"/>
        <v>50.164000000000001</v>
      </c>
      <c r="E45" s="21"/>
      <c r="F45" s="22">
        <f t="shared" si="12"/>
        <v>50.164000000000001</v>
      </c>
      <c r="G45" s="47">
        <f t="shared" ref="G45:G49" si="14">F45*76.76</f>
        <v>3850.5886400000004</v>
      </c>
    </row>
    <row r="46" spans="2:7" x14ac:dyDescent="0.25">
      <c r="B46" s="21" t="s">
        <v>92</v>
      </c>
      <c r="C46" s="22">
        <f t="shared" si="10"/>
        <v>50.164000000000001</v>
      </c>
      <c r="D46" s="22">
        <f t="shared" si="11"/>
        <v>50.164000000000001</v>
      </c>
      <c r="E46" s="21"/>
      <c r="F46" s="22">
        <f t="shared" si="12"/>
        <v>50.164000000000001</v>
      </c>
      <c r="G46" s="47">
        <f t="shared" si="14"/>
        <v>3850.5886400000004</v>
      </c>
    </row>
    <row r="47" spans="2:7" x14ac:dyDescent="0.25">
      <c r="B47" s="21" t="s">
        <v>93</v>
      </c>
      <c r="C47" s="22">
        <f t="shared" si="10"/>
        <v>50.164000000000001</v>
      </c>
      <c r="D47" s="22">
        <f t="shared" si="11"/>
        <v>50.164000000000001</v>
      </c>
      <c r="E47" s="21"/>
      <c r="F47" s="22">
        <f t="shared" si="12"/>
        <v>50.164000000000001</v>
      </c>
      <c r="G47" s="47">
        <f t="shared" si="14"/>
        <v>3850.5886400000004</v>
      </c>
    </row>
    <row r="48" spans="2:7" x14ac:dyDescent="0.25">
      <c r="B48" s="22" t="s">
        <v>94</v>
      </c>
      <c r="C48" s="22">
        <f t="shared" si="10"/>
        <v>50.164000000000001</v>
      </c>
      <c r="D48" s="22">
        <f t="shared" si="11"/>
        <v>50.164000000000001</v>
      </c>
      <c r="E48" s="21"/>
      <c r="F48" s="22">
        <f t="shared" si="12"/>
        <v>50.164000000000001</v>
      </c>
      <c r="G48" s="47">
        <f t="shared" si="14"/>
        <v>3850.5886400000004</v>
      </c>
    </row>
    <row r="49" spans="2:7" x14ac:dyDescent="0.25">
      <c r="B49" s="21" t="s">
        <v>95</v>
      </c>
      <c r="C49" s="22">
        <f t="shared" si="10"/>
        <v>50.164000000000001</v>
      </c>
      <c r="D49" s="22">
        <f t="shared" si="11"/>
        <v>50.164000000000001</v>
      </c>
      <c r="E49" s="21"/>
      <c r="F49" s="22">
        <f t="shared" si="12"/>
        <v>50.164000000000001</v>
      </c>
      <c r="G49" s="47">
        <f t="shared" si="14"/>
        <v>3850.5886400000004</v>
      </c>
    </row>
    <row r="50" spans="2:7" x14ac:dyDescent="0.25">
      <c r="B50" s="23" t="s">
        <v>96</v>
      </c>
      <c r="C50" s="23"/>
      <c r="D50" s="23">
        <f>SUM(D38:D49)</f>
        <v>601.96799999999996</v>
      </c>
      <c r="E50" s="23">
        <f t="shared" ref="E50:G50" si="15">SUM(E38:E49)</f>
        <v>297.58000000000004</v>
      </c>
      <c r="F50" s="23">
        <f t="shared" si="15"/>
        <v>304.38799999999998</v>
      </c>
      <c r="G50" s="24">
        <f t="shared" si="15"/>
        <v>23354.781080000004</v>
      </c>
    </row>
    <row r="51" spans="2:7" ht="21.75" customHeight="1" x14ac:dyDescent="0.25">
      <c r="B51" s="26" t="s">
        <v>113</v>
      </c>
      <c r="G51" s="27">
        <f>G16+G33+G50</f>
        <v>71193.692108999996</v>
      </c>
    </row>
    <row r="53" spans="2:7" x14ac:dyDescent="0.25">
      <c r="B53" t="s">
        <v>112</v>
      </c>
    </row>
  </sheetData>
  <mergeCells count="3">
    <mergeCell ref="D2:F2"/>
    <mergeCell ref="D19:F19"/>
    <mergeCell ref="D36:F3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2020-06-29T06:00:15Z</dcterms:modified>
</cp:coreProperties>
</file>